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S:\SWJUDGE\BUDGET\FY-2025\"/>
    </mc:Choice>
  </mc:AlternateContent>
  <xr:revisionPtr revIDLastSave="0" documentId="13_ncr:1_{DE4CF561-6B83-41B1-9DDB-DC5ED3562626}" xr6:coauthVersionLast="47" xr6:coauthVersionMax="47" xr10:uidLastSave="{00000000-0000-0000-0000-000000000000}"/>
  <bookViews>
    <workbookView xWindow="34935" yWindow="3810" windowWidth="21600" windowHeight="11385" firstSheet="1" activeTab="10" xr2:uid="{00000000-000D-0000-FFFF-FFFF00000000}"/>
  </bookViews>
  <sheets>
    <sheet name="INDEX" sheetId="1" r:id="rId1"/>
    <sheet name="SUMMARY " sheetId="36" r:id="rId2"/>
    <sheet name="REVENUE" sheetId="3" r:id="rId3"/>
    <sheet name="PCT. REVENUE" sheetId="4" r:id="rId4"/>
    <sheet name="400-CO. JUDGE" sheetId="5" r:id="rId5"/>
    <sheet name="403-CO.-DIST. CLERK" sheetId="6" r:id="rId6"/>
    <sheet name="406-J.P." sheetId="7" r:id="rId7"/>
    <sheet name="409-CO. ATTNY" sheetId="8" r:id="rId8"/>
    <sheet name="411-TREASURER" sheetId="9" r:id="rId9"/>
    <sheet name="414 TAX A C" sheetId="10" r:id="rId10"/>
    <sheet name="415 TAX COLLECTIONS " sheetId="40" r:id="rId11"/>
    <sheet name="10-417 BALIFF" sheetId="37" r:id="rId12"/>
    <sheet name="419 SP LAW ENF OFFICER" sheetId="39" state="hidden" r:id="rId13"/>
    <sheet name="420-SHERIFF DEPT." sheetId="11" r:id="rId14"/>
    <sheet name="423-JAIL" sheetId="12" r:id="rId15"/>
    <sheet name="426-BUILDING MAINT." sheetId="13" r:id="rId16"/>
    <sheet name="429-D P S" sheetId="14" r:id="rId17"/>
    <sheet name="VETERANS S. O." sheetId="15" r:id="rId18"/>
    <sheet name="434-EXTENSION" sheetId="16" r:id="rId19"/>
    <sheet name="437-LIBRARY" sheetId="17" r:id="rId20"/>
    <sheet name="440-GEN.GOVT." sheetId="18" r:id="rId21"/>
    <sheet name="443-ADULT PROB." sheetId="19" r:id="rId22"/>
    <sheet name="446-COOP. WORKS" sheetId="20" r:id="rId23"/>
    <sheet name="449-COUNTY COURT" sheetId="21" r:id="rId24"/>
    <sheet name="451-JUVENILE PROB." sheetId="22" state="hidden" r:id="rId25"/>
    <sheet name="453-454 ADMIN OF JUSTICE" sheetId="23" r:id="rId26"/>
    <sheet name="455-COMMISSIONERS COURT" sheetId="24" r:id="rId27"/>
    <sheet name="460-DETENTION CENTER" sheetId="25" r:id="rId28"/>
    <sheet name="470-ELECTIONS" sheetId="26" r:id="rId29"/>
    <sheet name="500-EMERGENCY MGMT." sheetId="27" r:id="rId30"/>
    <sheet name="DEBT SERVICE" sheetId="41" r:id="rId31"/>
    <sheet name="600-MAINTENANCE SHOP" sheetId="29" state="hidden" r:id="rId32"/>
    <sheet name="PCT. 1" sheetId="30" r:id="rId33"/>
    <sheet name="PCT. 2" sheetId="31" r:id="rId34"/>
    <sheet name="PCT. 3" sheetId="32" r:id="rId35"/>
    <sheet name="PCT. 4" sheetId="33" r:id="rId36"/>
    <sheet name="TAX WORKSHEET" sheetId="35" state="hidden" r:id="rId37"/>
    <sheet name="CAPITAL  PURCHASES" sheetId="34" state="hidden" r:id="rId38"/>
  </sheets>
  <definedNames>
    <definedName name="_xlnm.Print_Area" localSheetId="10">'415 TAX COLLECTIONS '!#REF!</definedName>
    <definedName name="_xlnm.Print_Area" localSheetId="2">REVENUE!$A$1:$D$115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36" l="1"/>
  <c r="F40" i="36" s="1"/>
  <c r="X24" i="4"/>
  <c r="F94" i="3"/>
  <c r="S7" i="4"/>
  <c r="G70" i="36"/>
  <c r="J17" i="40"/>
  <c r="U6" i="10"/>
  <c r="G62" i="36"/>
  <c r="G60" i="36"/>
  <c r="D36" i="36"/>
  <c r="D40" i="36" s="1"/>
  <c r="F57" i="36"/>
  <c r="G64" i="36" l="1"/>
  <c r="S5" i="4"/>
  <c r="C7" i="41"/>
  <c r="C5" i="41"/>
  <c r="N24" i="26"/>
  <c r="N8" i="26"/>
  <c r="N9" i="26"/>
  <c r="N10" i="26"/>
  <c r="L32" i="21"/>
  <c r="M20" i="11"/>
  <c r="M19" i="11"/>
  <c r="M18" i="11"/>
  <c r="N15" i="11"/>
  <c r="N10" i="11"/>
  <c r="N9" i="11"/>
  <c r="E4" i="3"/>
  <c r="E38" i="3" s="1"/>
  <c r="K18" i="23"/>
  <c r="K37" i="23"/>
  <c r="D109" i="3"/>
  <c r="E113" i="3"/>
  <c r="E112" i="3"/>
  <c r="E92" i="3"/>
  <c r="B5" i="4"/>
  <c r="B13" i="4" s="1"/>
  <c r="F5" i="4"/>
  <c r="B18" i="4" s="1"/>
  <c r="F6" i="4"/>
  <c r="C17" i="4" s="1"/>
  <c r="B7" i="4"/>
  <c r="F7" i="4"/>
  <c r="E19" i="4" s="1"/>
  <c r="F9" i="4"/>
  <c r="F10" i="4"/>
  <c r="D21" i="4" s="1"/>
  <c r="C13" i="4"/>
  <c r="B17" i="4"/>
  <c r="D18" i="4"/>
  <c r="E18" i="4"/>
  <c r="B19" i="4"/>
  <c r="C19" i="4"/>
  <c r="D19" i="4"/>
  <c r="C21" i="4"/>
  <c r="F28" i="4"/>
  <c r="W7" i="4"/>
  <c r="V18" i="4" s="1"/>
  <c r="E76" i="3"/>
  <c r="E54" i="3"/>
  <c r="E85" i="3"/>
  <c r="E66" i="3"/>
  <c r="T3" i="4"/>
  <c r="T2" i="4"/>
  <c r="W24" i="4"/>
  <c r="W20" i="4"/>
  <c r="W19" i="4"/>
  <c r="T12" i="4"/>
  <c r="W8" i="4"/>
  <c r="W6" i="4"/>
  <c r="T16" i="4" s="1"/>
  <c r="F48" i="36"/>
  <c r="B5" i="41"/>
  <c r="M6" i="33"/>
  <c r="M5" i="33"/>
  <c r="M4" i="33"/>
  <c r="L6" i="31"/>
  <c r="L5" i="31"/>
  <c r="N6" i="30"/>
  <c r="N5" i="30"/>
  <c r="L9" i="24"/>
  <c r="M8" i="16"/>
  <c r="M6" i="16"/>
  <c r="M5" i="16"/>
  <c r="M4" i="16"/>
  <c r="L42" i="13"/>
  <c r="K5" i="7"/>
  <c r="U5" i="10"/>
  <c r="J3" i="40"/>
  <c r="J5" i="40" s="1"/>
  <c r="E40" i="36"/>
  <c r="N4" i="17"/>
  <c r="N62" i="12"/>
  <c r="N4" i="11"/>
  <c r="O8" i="12"/>
  <c r="O7" i="12"/>
  <c r="O6" i="12"/>
  <c r="O5" i="12"/>
  <c r="O4" i="12"/>
  <c r="O3" i="12"/>
  <c r="T12" i="8"/>
  <c r="T13" i="8"/>
  <c r="T9" i="9"/>
  <c r="U12" i="8" a="1"/>
  <c r="U12" i="8" s="1"/>
  <c r="U17" i="8" s="1"/>
  <c r="N4" i="30"/>
  <c r="O10" i="12" l="1"/>
  <c r="F50" i="36"/>
  <c r="S18" i="4"/>
  <c r="U18" i="4"/>
  <c r="T18" i="4"/>
  <c r="F18" i="4"/>
  <c r="F19" i="4"/>
  <c r="B21" i="4"/>
  <c r="F13" i="4"/>
  <c r="C18" i="4"/>
  <c r="E17" i="4"/>
  <c r="E21" i="4"/>
  <c r="D17" i="4"/>
  <c r="F17" i="4" s="1"/>
  <c r="E87" i="3"/>
  <c r="U16" i="4"/>
  <c r="V16" i="4"/>
  <c r="S16" i="4"/>
  <c r="L4" i="31"/>
  <c r="M7" i="27"/>
  <c r="M33" i="27" s="1"/>
  <c r="M9" i="25"/>
  <c r="L4" i="22"/>
  <c r="K18" i="21"/>
  <c r="K32" i="21" s="1"/>
  <c r="L50" i="20"/>
  <c r="L60" i="18"/>
  <c r="N5" i="17"/>
  <c r="M5" i="17"/>
  <c r="L4" i="16"/>
  <c r="M17" i="15"/>
  <c r="M6" i="15"/>
  <c r="M8" i="15"/>
  <c r="M7" i="15"/>
  <c r="M4" i="15"/>
  <c r="K8" i="13"/>
  <c r="L8" i="13"/>
  <c r="L10" i="13" a="1"/>
  <c r="L10" i="13" s="1"/>
  <c r="L9" i="13"/>
  <c r="L4" i="13"/>
  <c r="K4" i="13"/>
  <c r="K6" i="11"/>
  <c r="L7" i="11" s="1"/>
  <c r="F5" i="37"/>
  <c r="F4" i="37"/>
  <c r="F6" i="37" s="1"/>
  <c r="J7" i="40"/>
  <c r="J6" i="40"/>
  <c r="U12" i="10"/>
  <c r="U14" i="10"/>
  <c r="U13" i="10"/>
  <c r="U4" i="10"/>
  <c r="T6" i="9"/>
  <c r="T14" i="8"/>
  <c r="K10" i="7"/>
  <c r="K4" i="7"/>
  <c r="M18" i="14"/>
  <c r="M8" i="27"/>
  <c r="M9" i="27"/>
  <c r="M10" i="33"/>
  <c r="M11" i="33"/>
  <c r="M12" i="33"/>
  <c r="L8" i="19"/>
  <c r="W18" i="4" l="1"/>
  <c r="F21" i="4"/>
  <c r="E43" i="3"/>
  <c r="W16" i="4"/>
  <c r="M45" i="33"/>
  <c r="L6" i="11"/>
  <c r="T42" i="8"/>
  <c r="L10" i="31"/>
  <c r="N12" i="17" a="1"/>
  <c r="N12" i="17" s="1"/>
  <c r="N45" i="17" s="1"/>
  <c r="N15" i="12"/>
  <c r="N16" i="12"/>
  <c r="N17" i="12"/>
  <c r="T11" i="9"/>
  <c r="T10" i="9"/>
  <c r="K11" i="7"/>
  <c r="K12" i="7"/>
  <c r="L12" i="31"/>
  <c r="L11" i="31"/>
  <c r="M40" i="30"/>
  <c r="E54" i="36"/>
  <c r="E56" i="36"/>
  <c r="K60" i="18"/>
  <c r="N57" i="12" l="1"/>
  <c r="E58" i="36"/>
  <c r="D63" i="36"/>
  <c r="K38" i="7"/>
  <c r="M6" i="11"/>
  <c r="M7" i="11"/>
  <c r="L19" i="11"/>
  <c r="L18" i="11"/>
  <c r="L20" i="11"/>
  <c r="L43" i="31"/>
  <c r="T36" i="9"/>
  <c r="D68" i="36"/>
  <c r="D62" i="36"/>
  <c r="D92" i="3"/>
  <c r="D4" i="3"/>
  <c r="E109" i="3"/>
  <c r="H5" i="4"/>
  <c r="L5" i="4" s="1"/>
  <c r="D85" i="3"/>
  <c r="L8" i="4"/>
  <c r="L21" i="4"/>
  <c r="D41" i="3"/>
  <c r="L20" i="4"/>
  <c r="D76" i="3"/>
  <c r="D54" i="3"/>
  <c r="D66" i="3"/>
  <c r="D64" i="36" l="1"/>
  <c r="D57" i="36"/>
  <c r="D87" i="3"/>
  <c r="E48" i="36"/>
  <c r="E50" i="36" s="1"/>
  <c r="M79" i="11" l="1"/>
  <c r="D50" i="36"/>
  <c r="D58" i="36" l="1"/>
  <c r="K50" i="20"/>
  <c r="L7" i="27"/>
  <c r="L9" i="27"/>
  <c r="L8" i="27"/>
  <c r="L6" i="15"/>
  <c r="I5" i="40"/>
  <c r="S9" i="9"/>
  <c r="N13" i="4"/>
  <c r="Q10" i="4"/>
  <c r="P21" i="4" s="1"/>
  <c r="Q9" i="4"/>
  <c r="Q6" i="4"/>
  <c r="P17" i="4" s="1"/>
  <c r="N3" i="4"/>
  <c r="M5" i="4" s="1"/>
  <c r="N2" i="4"/>
  <c r="M7" i="4" s="1"/>
  <c r="Q7" i="4" s="1"/>
  <c r="L6" i="33"/>
  <c r="L5" i="33"/>
  <c r="L4" i="33"/>
  <c r="M5" i="32"/>
  <c r="N5" i="32" s="1"/>
  <c r="M4" i="32"/>
  <c r="N4" i="32" s="1"/>
  <c r="M3" i="32"/>
  <c r="N3" i="32" s="1"/>
  <c r="K6" i="31"/>
  <c r="K5" i="31"/>
  <c r="K4" i="31"/>
  <c r="N9" i="32" l="1"/>
  <c r="N45" i="32" s="1"/>
  <c r="N11" i="32"/>
  <c r="N10" i="32"/>
  <c r="M9" i="32"/>
  <c r="M10" i="32"/>
  <c r="M11" i="32"/>
  <c r="L12" i="33"/>
  <c r="M17" i="4"/>
  <c r="N17" i="4"/>
  <c r="O17" i="4"/>
  <c r="M21" i="4"/>
  <c r="N21" i="4"/>
  <c r="Q5" i="4"/>
  <c r="P5" i="4"/>
  <c r="O21" i="4"/>
  <c r="M8" i="4"/>
  <c r="Q8" i="4" s="1"/>
  <c r="L10" i="33"/>
  <c r="L11" i="33"/>
  <c r="K12" i="31"/>
  <c r="K11" i="31"/>
  <c r="K10" i="31"/>
  <c r="J10" i="30"/>
  <c r="M6" i="30"/>
  <c r="M5" i="30"/>
  <c r="M4" i="30"/>
  <c r="M10" i="26"/>
  <c r="M9" i="26"/>
  <c r="M8" i="26"/>
  <c r="L9" i="25"/>
  <c r="K9" i="24"/>
  <c r="J18" i="23"/>
  <c r="J37" i="23"/>
  <c r="K4" i="22"/>
  <c r="K8" i="19"/>
  <c r="M12" i="17" a="1"/>
  <c r="M12" i="17" s="1"/>
  <c r="J12" i="17" a="1"/>
  <c r="J12" i="17" s="1"/>
  <c r="M4" i="17"/>
  <c r="L8" i="16"/>
  <c r="L6" i="16"/>
  <c r="L5" i="16"/>
  <c r="L17" i="15"/>
  <c r="L8" i="15"/>
  <c r="L7" i="15"/>
  <c r="I6" i="15"/>
  <c r="I7" i="15"/>
  <c r="I8" i="15"/>
  <c r="L4" i="15"/>
  <c r="L18" i="14"/>
  <c r="K10" i="13" a="1"/>
  <c r="K10" i="13" s="1"/>
  <c r="K42" i="13" s="1"/>
  <c r="K9" i="13"/>
  <c r="M17" i="12"/>
  <c r="M16" i="12"/>
  <c r="M15" i="12"/>
  <c r="J15" i="12"/>
  <c r="K7" i="11"/>
  <c r="H23" i="39"/>
  <c r="E5" i="37"/>
  <c r="E4" i="37"/>
  <c r="E6" i="37" s="1"/>
  <c r="I7" i="40"/>
  <c r="I6" i="40"/>
  <c r="I17" i="40"/>
  <c r="T5" i="10"/>
  <c r="T4" i="10"/>
  <c r="T12" i="10" s="1"/>
  <c r="S11" i="9"/>
  <c r="S10" i="9"/>
  <c r="S5" i="9"/>
  <c r="S4" i="9"/>
  <c r="S8" i="8"/>
  <c r="S7" i="8"/>
  <c r="S5" i="8"/>
  <c r="J5" i="7"/>
  <c r="J4" i="7"/>
  <c r="J10" i="7" s="1"/>
  <c r="N6" i="6"/>
  <c r="O6" i="6" s="1"/>
  <c r="M5" i="5"/>
  <c r="N5" i="5" s="1"/>
  <c r="M4" i="5"/>
  <c r="J10" i="33"/>
  <c r="J11" i="33"/>
  <c r="J12" i="33" a="1"/>
  <c r="J12" i="33" s="1"/>
  <c r="K9" i="32" a="1"/>
  <c r="K9" i="32" s="1"/>
  <c r="L45" i="32"/>
  <c r="K10" i="32"/>
  <c r="K11" i="32" a="1"/>
  <c r="K11" i="32" s="1"/>
  <c r="L40" i="30"/>
  <c r="K33" i="27"/>
  <c r="L33" i="27"/>
  <c r="K24" i="26"/>
  <c r="L24" i="26"/>
  <c r="K9" i="25"/>
  <c r="J4" i="22"/>
  <c r="J32" i="21"/>
  <c r="I32" i="21"/>
  <c r="J50" i="20"/>
  <c r="J8" i="19"/>
  <c r="J60" i="18"/>
  <c r="L45" i="17"/>
  <c r="K37" i="16"/>
  <c r="K17" i="15"/>
  <c r="K18" i="14"/>
  <c r="J42" i="13"/>
  <c r="L57" i="12"/>
  <c r="J79" i="11"/>
  <c r="G23" i="39"/>
  <c r="D6" i="37"/>
  <c r="H17" i="40"/>
  <c r="S41" i="10"/>
  <c r="R36" i="9"/>
  <c r="R42" i="8"/>
  <c r="I38" i="7"/>
  <c r="M34" i="6"/>
  <c r="L35" i="5"/>
  <c r="I4" i="13"/>
  <c r="I10" i="13" s="1"/>
  <c r="I4" i="11"/>
  <c r="I6" i="11"/>
  <c r="I7" i="11"/>
  <c r="J24" i="26"/>
  <c r="M13" i="16" l="1"/>
  <c r="M11" i="16"/>
  <c r="M12" i="16"/>
  <c r="M11" i="5"/>
  <c r="N4" i="5"/>
  <c r="S12" i="8"/>
  <c r="S13" i="8"/>
  <c r="S14" i="8"/>
  <c r="T13" i="10"/>
  <c r="T14" i="10"/>
  <c r="J11" i="7"/>
  <c r="J38" i="7" s="1"/>
  <c r="J12" i="7"/>
  <c r="S36" i="9"/>
  <c r="L45" i="33"/>
  <c r="M45" i="32"/>
  <c r="K43" i="31"/>
  <c r="Q21" i="4"/>
  <c r="Q17" i="4"/>
  <c r="M57" i="12"/>
  <c r="T41" i="10"/>
  <c r="O18" i="4"/>
  <c r="Q13" i="4"/>
  <c r="N18" i="4"/>
  <c r="M18" i="4"/>
  <c r="P18" i="4"/>
  <c r="M13" i="4"/>
  <c r="M12" i="30"/>
  <c r="M10" i="30"/>
  <c r="M11" i="30"/>
  <c r="M24" i="26"/>
  <c r="M45" i="17"/>
  <c r="M12" i="5"/>
  <c r="M13" i="5"/>
  <c r="J45" i="33"/>
  <c r="K45" i="33"/>
  <c r="K45" i="32"/>
  <c r="I9" i="13"/>
  <c r="I18" i="11"/>
  <c r="I8" i="13"/>
  <c r="I42" i="13" s="1"/>
  <c r="I20" i="11"/>
  <c r="I19" i="11"/>
  <c r="C5" i="37"/>
  <c r="C4" i="37"/>
  <c r="C67" i="36"/>
  <c r="C68" i="36" s="1"/>
  <c r="C40" i="36"/>
  <c r="C48" i="36"/>
  <c r="D38" i="3"/>
  <c r="D95" i="3" s="1"/>
  <c r="C63" i="36"/>
  <c r="I10" i="33"/>
  <c r="J11" i="30"/>
  <c r="J12" i="30"/>
  <c r="I11" i="16"/>
  <c r="J14" i="17"/>
  <c r="J13" i="17"/>
  <c r="J8" i="16"/>
  <c r="K7" i="12"/>
  <c r="K6" i="12"/>
  <c r="K5" i="12"/>
  <c r="K4" i="12"/>
  <c r="K3" i="12"/>
  <c r="I10" i="31" a="1"/>
  <c r="I10" i="31" s="1"/>
  <c r="I43" i="31" s="1"/>
  <c r="I11" i="31"/>
  <c r="I12" i="31" a="1"/>
  <c r="I12" i="31" s="1"/>
  <c r="G43" i="31"/>
  <c r="H43" i="31"/>
  <c r="G45" i="31"/>
  <c r="K6" i="30"/>
  <c r="K5" i="30"/>
  <c r="K4" i="30"/>
  <c r="J9" i="27"/>
  <c r="J8" i="27"/>
  <c r="J7" i="27"/>
  <c r="K7" i="17"/>
  <c r="K5" i="17"/>
  <c r="K4" i="17"/>
  <c r="J6" i="16"/>
  <c r="J5" i="16"/>
  <c r="J4" i="16"/>
  <c r="J4" i="15"/>
  <c r="H8" i="13"/>
  <c r="H9" i="13"/>
  <c r="K8" i="12"/>
  <c r="Q14" i="10"/>
  <c r="Q13" i="10"/>
  <c r="Q12" i="10"/>
  <c r="R7" i="10"/>
  <c r="R5" i="10"/>
  <c r="R4" i="10"/>
  <c r="G3" i="40"/>
  <c r="P39" i="10"/>
  <c r="Q39" i="10" s="1"/>
  <c r="R39" i="10" s="1"/>
  <c r="P38" i="10"/>
  <c r="Q38" i="10" s="1"/>
  <c r="P37" i="10"/>
  <c r="Q37" i="10" s="1"/>
  <c r="P36" i="10"/>
  <c r="Q36" i="10" s="1"/>
  <c r="P35" i="10"/>
  <c r="Q35" i="10" s="1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6" i="10"/>
  <c r="P15" i="10"/>
  <c r="P14" i="10"/>
  <c r="P13" i="10"/>
  <c r="P12" i="10"/>
  <c r="P11" i="10"/>
  <c r="P10" i="10"/>
  <c r="P9" i="10"/>
  <c r="P7" i="10"/>
  <c r="P6" i="10"/>
  <c r="P5" i="10"/>
  <c r="P4" i="10"/>
  <c r="Q6" i="9"/>
  <c r="Q5" i="9"/>
  <c r="Q4" i="9"/>
  <c r="Q7" i="8"/>
  <c r="Q5" i="8"/>
  <c r="L6" i="6"/>
  <c r="L24" i="4"/>
  <c r="I12" i="4"/>
  <c r="L6" i="4"/>
  <c r="I2" i="4"/>
  <c r="H7" i="4" s="1"/>
  <c r="M37" i="16" l="1"/>
  <c r="S42" i="8"/>
  <c r="N11" i="5"/>
  <c r="N12" i="5"/>
  <c r="N13" i="5"/>
  <c r="Q14" i="8"/>
  <c r="Q12" i="8"/>
  <c r="J13" i="16"/>
  <c r="D101" i="3"/>
  <c r="H12" i="4"/>
  <c r="I16" i="4"/>
  <c r="H16" i="4"/>
  <c r="D43" i="3"/>
  <c r="R13" i="10"/>
  <c r="Q18" i="4"/>
  <c r="K11" i="30"/>
  <c r="M35" i="5"/>
  <c r="K12" i="17" a="1"/>
  <c r="K12" i="17" s="1"/>
  <c r="K14" i="17" a="1"/>
  <c r="K14" i="17" s="1"/>
  <c r="J8" i="15"/>
  <c r="I79" i="11"/>
  <c r="G7" i="40"/>
  <c r="G5" i="40"/>
  <c r="G6" i="40"/>
  <c r="R14" i="10"/>
  <c r="Q41" i="10"/>
  <c r="R12" i="10"/>
  <c r="Q9" i="9"/>
  <c r="Q10" i="9" s="1"/>
  <c r="Q13" i="8"/>
  <c r="K10" i="30"/>
  <c r="L7" i="4"/>
  <c r="H18" i="4" s="1"/>
  <c r="C50" i="36"/>
  <c r="C58" i="36" s="1"/>
  <c r="C6" i="37"/>
  <c r="C57" i="36"/>
  <c r="C64" i="36"/>
  <c r="J11" i="16" a="1"/>
  <c r="J11" i="16" s="1"/>
  <c r="J37" i="16" s="1"/>
  <c r="J12" i="16"/>
  <c r="J6" i="15"/>
  <c r="J17" i="15" s="1"/>
  <c r="J7" i="15"/>
  <c r="K17" i="12"/>
  <c r="K15" i="12"/>
  <c r="K16" i="12"/>
  <c r="J16" i="4"/>
  <c r="K16" i="4"/>
  <c r="K13" i="17"/>
  <c r="I37" i="23"/>
  <c r="I50" i="20"/>
  <c r="H18" i="11"/>
  <c r="F7" i="40"/>
  <c r="F6" i="40"/>
  <c r="F5" i="40"/>
  <c r="I60" i="18"/>
  <c r="C54" i="3"/>
  <c r="C66" i="3"/>
  <c r="C85" i="3"/>
  <c r="C92" i="3"/>
  <c r="C109" i="3"/>
  <c r="J9" i="25"/>
  <c r="J18" i="14"/>
  <c r="H10" i="13" a="1"/>
  <c r="H10" i="13" s="1"/>
  <c r="H19" i="11"/>
  <c r="H20" i="11"/>
  <c r="F8" i="39"/>
  <c r="F7" i="39"/>
  <c r="F6" i="39"/>
  <c r="F23" i="39" s="1"/>
  <c r="J11" i="32" a="1"/>
  <c r="J11" i="32" s="1"/>
  <c r="J10" i="32"/>
  <c r="J9" i="32" a="1"/>
  <c r="J9" i="32" s="1"/>
  <c r="I12" i="33" a="1"/>
  <c r="I12" i="33" s="1"/>
  <c r="I45" i="33" s="1"/>
  <c r="I11" i="33"/>
  <c r="I7" i="27" a="1"/>
  <c r="I7" i="27" s="1"/>
  <c r="J9" i="24"/>
  <c r="I18" i="23"/>
  <c r="I4" i="22"/>
  <c r="H4" i="22"/>
  <c r="H60" i="18"/>
  <c r="G12" i="7"/>
  <c r="H12" i="7"/>
  <c r="G11" i="7"/>
  <c r="H11" i="7"/>
  <c r="H10" i="7"/>
  <c r="G10" i="7"/>
  <c r="K57" i="12" l="1"/>
  <c r="N35" i="5"/>
  <c r="Q42" i="8"/>
  <c r="R41" i="10"/>
  <c r="L12" i="4"/>
  <c r="O19" i="4"/>
  <c r="P19" i="4"/>
  <c r="M19" i="4"/>
  <c r="N19" i="4"/>
  <c r="N24" i="4" s="1"/>
  <c r="N28" i="4" s="1"/>
  <c r="G17" i="40"/>
  <c r="P20" i="4"/>
  <c r="O20" i="4"/>
  <c r="M20" i="4"/>
  <c r="I18" i="4"/>
  <c r="F17" i="40"/>
  <c r="K12" i="30"/>
  <c r="K40" i="30" s="1"/>
  <c r="K45" i="17"/>
  <c r="Q36" i="9"/>
  <c r="Q11" i="9"/>
  <c r="H79" i="11"/>
  <c r="J18" i="4"/>
  <c r="K18" i="4"/>
  <c r="I17" i="15"/>
  <c r="L19" i="4"/>
  <c r="J43" i="31"/>
  <c r="L16" i="4"/>
  <c r="K17" i="4"/>
  <c r="H17" i="4"/>
  <c r="H22" i="4" s="1"/>
  <c r="H26" i="4" s="1"/>
  <c r="J17" i="4"/>
  <c r="I17" i="4"/>
  <c r="H38" i="7"/>
  <c r="J22" i="4" l="1"/>
  <c r="J26" i="4" s="1"/>
  <c r="K22" i="4"/>
  <c r="K26" i="4" s="1"/>
  <c r="I22" i="4"/>
  <c r="I26" i="4" s="1"/>
  <c r="Q19" i="4"/>
  <c r="O24" i="4"/>
  <c r="O28" i="4" s="1"/>
  <c r="P24" i="4"/>
  <c r="P28" i="4" s="1"/>
  <c r="M24" i="4"/>
  <c r="Q20" i="4"/>
  <c r="L18" i="4"/>
  <c r="L17" i="4"/>
  <c r="K13" i="5"/>
  <c r="K12" i="5"/>
  <c r="K11" i="5"/>
  <c r="I9" i="24"/>
  <c r="H37" i="23"/>
  <c r="H18" i="23"/>
  <c r="H32" i="21"/>
  <c r="I8" i="19"/>
  <c r="I13" i="16"/>
  <c r="I12" i="16"/>
  <c r="H11" i="16" a="1"/>
  <c r="H11" i="16" s="1"/>
  <c r="H13" i="16"/>
  <c r="H12" i="16"/>
  <c r="J45" i="17"/>
  <c r="G10" i="13" a="1"/>
  <c r="G10" i="13" s="1"/>
  <c r="G8" i="13"/>
  <c r="J17" i="12"/>
  <c r="J16" i="12"/>
  <c r="I17" i="12"/>
  <c r="I16" i="12"/>
  <c r="I15" i="12"/>
  <c r="G20" i="11"/>
  <c r="G19" i="11"/>
  <c r="G18" i="11"/>
  <c r="E23" i="39"/>
  <c r="E8" i="39"/>
  <c r="E7" i="39"/>
  <c r="E6" i="39"/>
  <c r="E7" i="40"/>
  <c r="E6" i="40"/>
  <c r="E5" i="40"/>
  <c r="P9" i="9"/>
  <c r="P10" i="9" s="1"/>
  <c r="O9" i="9"/>
  <c r="O10" i="9" s="1"/>
  <c r="P13" i="8"/>
  <c r="P12" i="8"/>
  <c r="P14" i="8"/>
  <c r="M14" i="8"/>
  <c r="O13" i="8"/>
  <c r="O12" i="8"/>
  <c r="J13" i="6"/>
  <c r="J12" i="6"/>
  <c r="J11" i="6"/>
  <c r="K5" i="6"/>
  <c r="K3" i="6"/>
  <c r="J11" i="5"/>
  <c r="J13" i="5"/>
  <c r="J12" i="5"/>
  <c r="K4" i="6"/>
  <c r="D17" i="40"/>
  <c r="G45" i="33"/>
  <c r="G4" i="22"/>
  <c r="F60" i="18"/>
  <c r="G45" i="17"/>
  <c r="F45" i="17"/>
  <c r="F42" i="13"/>
  <c r="E42" i="13"/>
  <c r="H57" i="12"/>
  <c r="G57" i="12"/>
  <c r="E79" i="11"/>
  <c r="N41" i="10"/>
  <c r="M36" i="9"/>
  <c r="G60" i="18"/>
  <c r="O41" i="10"/>
  <c r="I37" i="16" l="1"/>
  <c r="O42" i="8"/>
  <c r="L22" i="4"/>
  <c r="L26" i="4" s="1"/>
  <c r="Q24" i="4"/>
  <c r="Q28" i="4" s="1"/>
  <c r="M28" i="4"/>
  <c r="L4" i="6"/>
  <c r="N4" i="6"/>
  <c r="O4" i="6" s="1"/>
  <c r="L3" i="6"/>
  <c r="N3" i="6"/>
  <c r="O3" i="6" s="1"/>
  <c r="L5" i="6"/>
  <c r="N5" i="6"/>
  <c r="P11" i="9"/>
  <c r="P36" i="9" s="1"/>
  <c r="K35" i="5"/>
  <c r="K11" i="6"/>
  <c r="K13" i="6"/>
  <c r="K12" i="6"/>
  <c r="J34" i="6"/>
  <c r="J57" i="12"/>
  <c r="O11" i="9"/>
  <c r="P42" i="8"/>
  <c r="G38" i="7"/>
  <c r="E12" i="7"/>
  <c r="E11" i="7"/>
  <c r="H12" i="5"/>
  <c r="O11" i="6" l="1"/>
  <c r="O12" i="6"/>
  <c r="O13" i="6"/>
  <c r="L13" i="6"/>
  <c r="L11" i="6"/>
  <c r="L12" i="6"/>
  <c r="N11" i="6"/>
  <c r="N13" i="6"/>
  <c r="N12" i="6"/>
  <c r="K34" i="6"/>
  <c r="E10" i="7"/>
  <c r="E38" i="7" s="1"/>
  <c r="H13" i="5"/>
  <c r="H11" i="5"/>
  <c r="L34" i="6" l="1"/>
  <c r="O34" i="6"/>
  <c r="N34" i="6"/>
  <c r="H35" i="5"/>
  <c r="H17" i="15" l="1"/>
  <c r="J35" i="5"/>
  <c r="H45" i="17" l="1"/>
  <c r="H8" i="19"/>
  <c r="H45" i="32" l="1"/>
  <c r="G45" i="32"/>
  <c r="F32" i="21"/>
  <c r="G18" i="14"/>
  <c r="C23" i="39"/>
  <c r="C17" i="40"/>
  <c r="I57" i="12" l="1"/>
  <c r="G79" i="11"/>
  <c r="H45" i="33" l="1"/>
  <c r="I45" i="32" l="1"/>
  <c r="I24" i="26" l="1"/>
  <c r="H50" i="20" l="1"/>
  <c r="H40" i="30" l="1"/>
  <c r="H33" i="27"/>
  <c r="H24" i="26" l="1"/>
  <c r="H9" i="25" l="1"/>
  <c r="H9" i="24"/>
  <c r="G37" i="23"/>
  <c r="G18" i="23"/>
  <c r="G32" i="21"/>
  <c r="G50" i="20"/>
  <c r="G8" i="19"/>
  <c r="G37" i="16" l="1"/>
  <c r="G17" i="15"/>
  <c r="H18" i="14"/>
  <c r="F79" i="11" l="1"/>
  <c r="N36" i="9"/>
  <c r="N42" i="8"/>
  <c r="F38" i="7" l="1"/>
  <c r="I34" i="6"/>
  <c r="I35" i="5"/>
  <c r="F50" i="20" l="1"/>
  <c r="I40" i="30" l="1"/>
  <c r="F37" i="23" l="1"/>
  <c r="F18" i="23"/>
  <c r="G9" i="25" l="1"/>
  <c r="G9" i="24"/>
  <c r="F4" i="22"/>
  <c r="F8" i="19"/>
  <c r="C11" i="5" l="1"/>
  <c r="C12" i="5"/>
  <c r="C13" i="5"/>
  <c r="D35" i="5"/>
  <c r="E35" i="5"/>
  <c r="C35" i="5" l="1"/>
  <c r="F18" i="31" l="1"/>
  <c r="E40" i="30"/>
  <c r="F40" i="30"/>
  <c r="F9" i="26"/>
  <c r="F10" i="26"/>
  <c r="F9" i="25"/>
  <c r="F9" i="24"/>
  <c r="E4" i="22"/>
  <c r="E32" i="21"/>
  <c r="E8" i="19"/>
  <c r="E60" i="18"/>
  <c r="E14" i="17"/>
  <c r="E13" i="17"/>
  <c r="E12" i="17"/>
  <c r="E6" i="15"/>
  <c r="E8" i="15"/>
  <c r="E7" i="15"/>
  <c r="F17" i="12"/>
  <c r="F16" i="12"/>
  <c r="F15" i="12"/>
  <c r="D20" i="11"/>
  <c r="D19" i="11"/>
  <c r="D18" i="11"/>
  <c r="L11" i="9"/>
  <c r="L10" i="9"/>
  <c r="L9" i="9"/>
  <c r="L14" i="8"/>
  <c r="L13" i="8"/>
  <c r="L12" i="8"/>
  <c r="G5" i="5"/>
  <c r="G4" i="5"/>
  <c r="F37" i="16" l="1"/>
  <c r="G13" i="5"/>
  <c r="G12" i="5"/>
  <c r="F16" i="31"/>
  <c r="F10" i="31"/>
  <c r="F17" i="31"/>
  <c r="F11" i="31"/>
  <c r="F12" i="31"/>
  <c r="E17" i="15"/>
  <c r="L36" i="9"/>
  <c r="L42" i="8"/>
  <c r="G11" i="5"/>
  <c r="E45" i="17"/>
  <c r="F17" i="15" l="1"/>
  <c r="G33" i="27"/>
  <c r="M42" i="8"/>
  <c r="G35" i="5"/>
  <c r="F12" i="33"/>
  <c r="F11" i="33" l="1"/>
  <c r="F10" i="33"/>
  <c r="M41" i="10"/>
  <c r="F11" i="32" l="1"/>
  <c r="F10" i="32" l="1"/>
  <c r="F9" i="32"/>
  <c r="F24" i="26"/>
  <c r="F45" i="33"/>
  <c r="F25" i="29"/>
  <c r="F33" i="27"/>
  <c r="E37" i="23"/>
  <c r="E18" i="23"/>
  <c r="E37" i="16"/>
  <c r="F18" i="14"/>
  <c r="F57" i="12"/>
  <c r="D79" i="11"/>
  <c r="D38" i="7"/>
  <c r="E45" i="33" l="1"/>
  <c r="E45" i="32"/>
  <c r="E43" i="31"/>
  <c r="E33" i="27"/>
  <c r="E24" i="26"/>
  <c r="E9" i="25"/>
  <c r="E9" i="24" l="1"/>
  <c r="D37" i="23"/>
  <c r="D18" i="23"/>
  <c r="E51" i="20" l="1"/>
  <c r="D8" i="19" l="1"/>
  <c r="D60" i="18"/>
  <c r="D45" i="17"/>
  <c r="D37" i="16"/>
  <c r="D17" i="15"/>
  <c r="E18" i="14"/>
  <c r="D42" i="13"/>
  <c r="E57" i="12"/>
  <c r="C79" i="11"/>
  <c r="L41" i="10"/>
  <c r="P41" i="10" s="1"/>
  <c r="K36" i="9"/>
  <c r="K42" i="8"/>
  <c r="C38" i="7"/>
  <c r="F34" i="6"/>
  <c r="F35" i="5"/>
  <c r="D15" i="12" l="1"/>
  <c r="D16" i="12"/>
  <c r="D17" i="12"/>
  <c r="C10" i="30" l="1"/>
  <c r="C11" i="30"/>
  <c r="C12" i="30"/>
  <c r="D4" i="30"/>
  <c r="D5" i="30"/>
  <c r="D6" i="30"/>
  <c r="D9" i="30"/>
  <c r="D13" i="30"/>
  <c r="C40" i="30" l="1"/>
  <c r="D12" i="30"/>
  <c r="D10" i="30"/>
  <c r="D11" i="30"/>
  <c r="C14" i="16"/>
  <c r="C16" i="35"/>
  <c r="E15" i="35"/>
  <c r="E14" i="35"/>
  <c r="C10" i="35"/>
  <c r="E9" i="35"/>
  <c r="E8" i="35"/>
  <c r="D13" i="33"/>
  <c r="C12" i="33"/>
  <c r="C11" i="33"/>
  <c r="C10" i="33"/>
  <c r="D6" i="33"/>
  <c r="D5" i="33"/>
  <c r="D4" i="33"/>
  <c r="D12" i="32"/>
  <c r="C11" i="32"/>
  <c r="C10" i="32"/>
  <c r="C9" i="32"/>
  <c r="D5" i="32"/>
  <c r="D4" i="32"/>
  <c r="D3" i="32"/>
  <c r="D13" i="31"/>
  <c r="C12" i="31"/>
  <c r="C11" i="31"/>
  <c r="C10" i="31"/>
  <c r="D6" i="31"/>
  <c r="D5" i="31"/>
  <c r="D4" i="31"/>
  <c r="C10" i="29"/>
  <c r="C9" i="29"/>
  <c r="C8" i="29"/>
  <c r="C9" i="27"/>
  <c r="C8" i="27"/>
  <c r="C7" i="27"/>
  <c r="D3" i="27"/>
  <c r="D9" i="27" s="1"/>
  <c r="D10" i="26"/>
  <c r="C10" i="26"/>
  <c r="D9" i="26"/>
  <c r="C9" i="26"/>
  <c r="D9" i="25"/>
  <c r="C9" i="25"/>
  <c r="D9" i="24"/>
  <c r="C9" i="24"/>
  <c r="C37" i="23"/>
  <c r="C18" i="23"/>
  <c r="C4" i="22"/>
  <c r="C32" i="21"/>
  <c r="E10" i="35" l="1"/>
  <c r="C24" i="26"/>
  <c r="D40" i="30"/>
  <c r="E16" i="35"/>
  <c r="C45" i="33"/>
  <c r="C45" i="32"/>
  <c r="D7" i="27"/>
  <c r="C33" i="27"/>
  <c r="D8" i="27"/>
  <c r="C25" i="29"/>
  <c r="D24" i="26"/>
  <c r="D10" i="33"/>
  <c r="D12" i="33"/>
  <c r="D11" i="33"/>
  <c r="D9" i="32"/>
  <c r="D11" i="32"/>
  <c r="D10" i="32"/>
  <c r="D17" i="31"/>
  <c r="D10" i="31"/>
  <c r="D11" i="31"/>
  <c r="D12" i="31"/>
  <c r="D16" i="31"/>
  <c r="D18" i="31"/>
  <c r="G40" i="30" l="1"/>
  <c r="E19" i="35"/>
  <c r="D45" i="33"/>
  <c r="D45" i="32"/>
  <c r="D33" i="27"/>
  <c r="G24" i="26" l="1"/>
  <c r="D51" i="20"/>
  <c r="C51" i="20"/>
  <c r="C8" i="19"/>
  <c r="C60" i="18"/>
  <c r="C14" i="17"/>
  <c r="C13" i="17"/>
  <c r="C12" i="17"/>
  <c r="C13" i="16"/>
  <c r="C12" i="16"/>
  <c r="C11" i="16"/>
  <c r="C6" i="15"/>
  <c r="C8" i="15"/>
  <c r="C7" i="15"/>
  <c r="D18" i="14"/>
  <c r="C18" i="14"/>
  <c r="C10" i="13"/>
  <c r="C9" i="13"/>
  <c r="C8" i="13"/>
  <c r="C17" i="12"/>
  <c r="C16" i="12"/>
  <c r="C15" i="12"/>
  <c r="J41" i="10"/>
  <c r="H41" i="10"/>
  <c r="G41" i="10"/>
  <c r="D41" i="10"/>
  <c r="K14" i="10"/>
  <c r="F14" i="10"/>
  <c r="E14" i="10"/>
  <c r="C14" i="10"/>
  <c r="K13" i="10"/>
  <c r="F13" i="10"/>
  <c r="E13" i="10"/>
  <c r="C13" i="10"/>
  <c r="K12" i="10"/>
  <c r="F12" i="10"/>
  <c r="E12" i="10"/>
  <c r="C12" i="10"/>
  <c r="I5" i="10"/>
  <c r="I4" i="10"/>
  <c r="I36" i="9"/>
  <c r="H36" i="9"/>
  <c r="G36" i="9"/>
  <c r="D36" i="9"/>
  <c r="J11" i="9"/>
  <c r="F11" i="9"/>
  <c r="J10" i="9"/>
  <c r="F10" i="9"/>
  <c r="E10" i="9"/>
  <c r="C10" i="9"/>
  <c r="J9" i="9"/>
  <c r="F9" i="9"/>
  <c r="E9" i="9"/>
  <c r="E11" i="9" s="1"/>
  <c r="C9" i="9"/>
  <c r="I42" i="8"/>
  <c r="G42" i="8"/>
  <c r="D42" i="8"/>
  <c r="F14" i="8"/>
  <c r="E14" i="8"/>
  <c r="C14" i="8"/>
  <c r="H13" i="8"/>
  <c r="F13" i="8"/>
  <c r="E13" i="8"/>
  <c r="C13" i="8"/>
  <c r="H12" i="8"/>
  <c r="F12" i="8"/>
  <c r="E12" i="8"/>
  <c r="C12" i="8"/>
  <c r="J7" i="8"/>
  <c r="J42" i="8" s="1"/>
  <c r="H7" i="8"/>
  <c r="H5" i="8"/>
  <c r="D34" i="6"/>
  <c r="E14" i="6"/>
  <c r="E6" i="6"/>
  <c r="E5" i="6"/>
  <c r="E4" i="6"/>
  <c r="E41" i="10" l="1"/>
  <c r="C41" i="10"/>
  <c r="E42" i="8"/>
  <c r="F42" i="8"/>
  <c r="K41" i="10"/>
  <c r="F36" i="9"/>
  <c r="J36" i="9"/>
  <c r="C42" i="8"/>
  <c r="F41" i="10"/>
  <c r="H14" i="8"/>
  <c r="H42" i="8" s="1"/>
  <c r="C45" i="17"/>
  <c r="C37" i="16"/>
  <c r="C17" i="15"/>
  <c r="C42" i="13"/>
  <c r="C57" i="12"/>
  <c r="D57" i="12"/>
  <c r="E3" i="6"/>
  <c r="C12" i="6"/>
  <c r="E12" i="6" s="1"/>
  <c r="C11" i="6"/>
  <c r="E11" i="6" s="1"/>
  <c r="C13" i="6"/>
  <c r="E13" i="6" s="1"/>
  <c r="I14" i="10"/>
  <c r="I13" i="10"/>
  <c r="I12" i="10"/>
  <c r="C11" i="9"/>
  <c r="C36" i="9" s="1"/>
  <c r="E36" i="9"/>
  <c r="I41" i="10" l="1"/>
  <c r="E34" i="6"/>
  <c r="C34" i="6"/>
  <c r="H34" i="6" l="1"/>
  <c r="O36" i="9"/>
  <c r="E17" i="40"/>
  <c r="H37" i="16"/>
  <c r="J45" i="32"/>
  <c r="J40" i="30"/>
  <c r="H42" i="13" l="1"/>
  <c r="J33" i="27"/>
  <c r="K19" i="11" l="1"/>
  <c r="K20" i="11"/>
  <c r="K18" i="11"/>
  <c r="K79" i="11" l="1"/>
  <c r="L79" i="11"/>
  <c r="L13" i="16"/>
  <c r="L12" i="16"/>
  <c r="L11" i="16"/>
  <c r="L37" i="16" s="1"/>
  <c r="N12" i="30"/>
  <c r="N11" i="30" l="1"/>
  <c r="N10" i="30"/>
  <c r="N40" i="30" l="1"/>
  <c r="O30" i="30"/>
  <c r="O40" i="30" s="1"/>
  <c r="W5" i="4"/>
  <c r="S12" i="4" l="1"/>
  <c r="V17" i="4"/>
  <c r="V22" i="4" s="1"/>
  <c r="V26" i="4" s="1"/>
  <c r="S17" i="4"/>
  <c r="U17" i="4"/>
  <c r="U22" i="4" s="1"/>
  <c r="U26" i="4" s="1"/>
  <c r="T17" i="4"/>
  <c r="T22" i="4" s="1"/>
  <c r="T26" i="4" s="1"/>
  <c r="W12" i="4"/>
  <c r="W17" i="4" l="1"/>
  <c r="S22" i="4"/>
  <c r="S26" i="4" l="1"/>
  <c r="W22" i="4"/>
  <c r="W26" i="4" s="1"/>
  <c r="F45" i="32"/>
  <c r="C43" i="31"/>
  <c r="C38" i="3"/>
  <c r="C43" i="3"/>
  <c r="C95" i="3"/>
  <c r="G42" i="13"/>
  <c r="G9" i="13"/>
  <c r="C76" i="3"/>
  <c r="C87" i="3"/>
  <c r="F43" i="31"/>
  <c r="I33" i="27"/>
  <c r="I9" i="27"/>
  <c r="I8" i="27"/>
  <c r="I9" i="27" a="1"/>
  <c r="D43" i="31"/>
  <c r="D8" i="39"/>
  <c r="D7" i="39"/>
  <c r="D6" i="39"/>
  <c r="D23" i="39"/>
  <c r="E51" i="36"/>
  <c r="E51" i="36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Cumby</author>
  </authors>
  <commentList>
    <comment ref="G17" authorId="0" shapeId="0" xr:uid="{00000000-0006-0000-0F00-000001000000}">
      <text>
        <r>
          <rPr>
            <sz val="9"/>
            <color indexed="81"/>
            <rFont val="Tahoma"/>
            <family val="2"/>
          </rPr>
          <t xml:space="preserve">=SUM(G4:G15)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<sst xmlns="http://schemas.openxmlformats.org/spreadsheetml/2006/main" count="2484" uniqueCount="1687">
  <si>
    <t>DEPARTMENTS</t>
  </si>
  <si>
    <t>INDEX</t>
  </si>
  <si>
    <t>SUMMARY  2  Pages</t>
  </si>
  <si>
    <t>REVENUES  2 Pages</t>
  </si>
  <si>
    <t>PRECINCT REVENUE</t>
  </si>
  <si>
    <t>COUNTY JUDGE</t>
  </si>
  <si>
    <t>COUNTY/DISTRICT CLERK</t>
  </si>
  <si>
    <t>JUSTICE OF THE PEACE</t>
  </si>
  <si>
    <t>COUNTY ATTORNEY - FELONY</t>
  </si>
  <si>
    <t>TREASURER</t>
  </si>
  <si>
    <t>TAX ASSESSOR/COLLECTOR</t>
  </si>
  <si>
    <t>SHERIFF'S DEPARTMENT</t>
  </si>
  <si>
    <t>COUNTY JAIL</t>
  </si>
  <si>
    <t>BUILDING MAINTENANCE</t>
  </si>
  <si>
    <t>DEPT. PUBLIC SAFETY</t>
  </si>
  <si>
    <t>VETERAN SERVICE OFFICER</t>
  </si>
  <si>
    <t>EXTENSION OFFICE</t>
  </si>
  <si>
    <t>LIBRARY</t>
  </si>
  <si>
    <t>GENERAL GOVERNMENT</t>
  </si>
  <si>
    <t>ADULT PROBATION</t>
  </si>
  <si>
    <t>COOPERATIVE WORKS</t>
  </si>
  <si>
    <t>COUNTY COURT</t>
  </si>
  <si>
    <t>JUVENILE PROBATION</t>
  </si>
  <si>
    <t>ADMINISTRATION OF JUSTICE</t>
  </si>
  <si>
    <t>COMMISSIONERS COURT</t>
  </si>
  <si>
    <t>DETENTION CENTER</t>
  </si>
  <si>
    <t>ELECTIONS ADMINISTRATOR</t>
  </si>
  <si>
    <t>EMERGENCY MANAGEMENT</t>
  </si>
  <si>
    <t>MAINTENANCE SHOP</t>
  </si>
  <si>
    <t>PRECINCT #1</t>
  </si>
  <si>
    <t>PRECINCT #2</t>
  </si>
  <si>
    <t>PRECINCT #3</t>
  </si>
  <si>
    <t>PRECINCT #4</t>
  </si>
  <si>
    <t>GENERAL FUND DEPARTMENTS</t>
  </si>
  <si>
    <t>10-400</t>
  </si>
  <si>
    <t>10-403</t>
  </si>
  <si>
    <t>10-406</t>
  </si>
  <si>
    <t>10-409</t>
  </si>
  <si>
    <t>COUNTY ATTORNEY</t>
  </si>
  <si>
    <t>10-411</t>
  </si>
  <si>
    <t>COUNTY TREASURER</t>
  </si>
  <si>
    <t>10-414</t>
  </si>
  <si>
    <t>10-420</t>
  </si>
  <si>
    <t>10-423</t>
  </si>
  <si>
    <t>10-426</t>
  </si>
  <si>
    <t>10-429</t>
  </si>
  <si>
    <t>10-431</t>
  </si>
  <si>
    <t>VETERANS SERVICE OFFICER</t>
  </si>
  <si>
    <t>10-434</t>
  </si>
  <si>
    <t>10-437</t>
  </si>
  <si>
    <t>COUNTY LIBRARY</t>
  </si>
  <si>
    <t>10-440</t>
  </si>
  <si>
    <t>10-443</t>
  </si>
  <si>
    <t>10-446</t>
  </si>
  <si>
    <t>10-449</t>
  </si>
  <si>
    <t>10-451</t>
  </si>
  <si>
    <t>10-453</t>
  </si>
  <si>
    <t>64TH DISTRICT COURT</t>
  </si>
  <si>
    <t>10-454</t>
  </si>
  <si>
    <t>242ND DISTRICT COURT</t>
  </si>
  <si>
    <t>10-455</t>
  </si>
  <si>
    <t>10-460</t>
  </si>
  <si>
    <t>DETENTION</t>
  </si>
  <si>
    <t>10-470</t>
  </si>
  <si>
    <t>10-500</t>
  </si>
  <si>
    <t>10-600</t>
  </si>
  <si>
    <t>TOTALS FOR GENERAL FUND</t>
  </si>
  <si>
    <t>COMMISSIONEERS PRECINCTS</t>
  </si>
  <si>
    <t>10-915</t>
  </si>
  <si>
    <t>PREC. #1</t>
  </si>
  <si>
    <t>10-916</t>
  </si>
  <si>
    <t>PREC. #2</t>
  </si>
  <si>
    <t>10-917</t>
  </si>
  <si>
    <t>PREC. #3</t>
  </si>
  <si>
    <t>10-918</t>
  </si>
  <si>
    <t>PREC. #4</t>
  </si>
  <si>
    <t>TOTALS FOR PRECINCTS</t>
  </si>
  <si>
    <t>TOTAL ESTIMATED EXPENDITURES</t>
  </si>
  <si>
    <t>GENERAL FUND REVENUES</t>
  </si>
  <si>
    <t>EST. CASH O.H. YR. (GENERAL)</t>
  </si>
  <si>
    <t>PRECINCT REVENUES</t>
  </si>
  <si>
    <t>EST. CASH O.H. YR. (PRECINCTS)</t>
  </si>
  <si>
    <t>TOTAL AVAILABLE FUNDS</t>
  </si>
  <si>
    <t>TOTAL ESTIMATED EXPENSES</t>
  </si>
  <si>
    <t>SURPLUS/ DEFICIT</t>
  </si>
  <si>
    <t>TOTAL GENERAL FUND EST EXPEND.</t>
  </si>
  <si>
    <t>GENERAL FUND AVAILABLE</t>
  </si>
  <si>
    <t>DIFFERENCE</t>
  </si>
  <si>
    <t>TOTAL PREC. EST EXPEND.</t>
  </si>
  <si>
    <t>PRECINCTS FUNDS AVAILABLE</t>
  </si>
  <si>
    <t>10-210-100</t>
  </si>
  <si>
    <t>OTHER SERVICE FEES</t>
  </si>
  <si>
    <t>10-210-101</t>
  </si>
  <si>
    <t>COUNTY TAXES CURRENT</t>
  </si>
  <si>
    <t>10-210-102</t>
  </si>
  <si>
    <t>COUNTY TAXES DELIQUENT</t>
  </si>
  <si>
    <t>10-210-103</t>
  </si>
  <si>
    <t>FEES OF OFFICE-CLERK</t>
  </si>
  <si>
    <t>10-210-108</t>
  </si>
  <si>
    <t>FINES &amp; CT COSTS - JP</t>
  </si>
  <si>
    <t>10-210-112</t>
  </si>
  <si>
    <t>BOND FORFEITURES</t>
  </si>
  <si>
    <t>10-210-114</t>
  </si>
  <si>
    <t>OTHER REFUNDS</t>
  </si>
  <si>
    <t>10-210-115</t>
  </si>
  <si>
    <t>TITLE FEES</t>
  </si>
  <si>
    <t>10-210-117</t>
  </si>
  <si>
    <t>NON-COUNTY PRISONER FEES</t>
  </si>
  <si>
    <t>10-210-118</t>
  </si>
  <si>
    <t>COUNTY SALES</t>
  </si>
  <si>
    <t>10-210-119</t>
  </si>
  <si>
    <t>CT APP ATTY/ JUV REIMB</t>
  </si>
  <si>
    <t>10-210-123</t>
  </si>
  <si>
    <t>OTHER / WORK RELEASE PROG</t>
  </si>
  <si>
    <t>10-210-128</t>
  </si>
  <si>
    <t>VEHICLE REG COMMISSION</t>
  </si>
  <si>
    <t>10-210-130</t>
  </si>
  <si>
    <t>MIXED DRINK TAX</t>
  </si>
  <si>
    <t>10-210-132</t>
  </si>
  <si>
    <t>MISC.</t>
  </si>
  <si>
    <t>10-210-133</t>
  </si>
  <si>
    <t>CONSTABLE SERVICE FEES</t>
  </si>
  <si>
    <t>10-210-135</t>
  </si>
  <si>
    <t>LAW LIBRARY(CIVIL FEES)</t>
  </si>
  <si>
    <t>10-210-137</t>
  </si>
  <si>
    <t>COURT APP. ATTORNEY/ Reimbursement</t>
  </si>
  <si>
    <t>10-210-144</t>
  </si>
  <si>
    <t>FINES &amp; CT COSTS / CO. &amp; DIST.</t>
  </si>
  <si>
    <t>10-210-145</t>
  </si>
  <si>
    <t>INTEREST</t>
  </si>
  <si>
    <t>10-210-153</t>
  </si>
  <si>
    <t>APPR. DIST. REFUND</t>
  </si>
  <si>
    <t>10-210-155</t>
  </si>
  <si>
    <t>INMATE PHONE SYSTEM</t>
  </si>
  <si>
    <t>10-210-165</t>
  </si>
  <si>
    <t>JUV. PROB. REFUND/CREDIT</t>
  </si>
  <si>
    <t>10-210-172</t>
  </si>
  <si>
    <t>JUDICIAL SUPPLEMENT</t>
  </si>
  <si>
    <t>10-210-180</t>
  </si>
  <si>
    <t>COUNTY ATTNY SUPPLEMENT</t>
  </si>
  <si>
    <t>INSURANCE REIMBURSEMENT</t>
  </si>
  <si>
    <t xml:space="preserve">ELECTIONS ADMINISTRATOR </t>
  </si>
  <si>
    <t>CO ATTORNEY STATE ASSISTANCE</t>
  </si>
  <si>
    <t>COMMMUNITIES &amp; SCHOOLS</t>
  </si>
  <si>
    <t>SUB-TOTAL</t>
  </si>
  <si>
    <t>15-210-110</t>
  </si>
  <si>
    <t>STATE LATERAL ROAD</t>
  </si>
  <si>
    <t>15-210-112</t>
  </si>
  <si>
    <t>ROAD AND BRIDGE (SPEC.LAT.ROAD)</t>
  </si>
  <si>
    <t>15-210-111</t>
  </si>
  <si>
    <t xml:space="preserve">GENERAL FUND TAXES </t>
  </si>
  <si>
    <t>15-210-113</t>
  </si>
  <si>
    <t>MOTOR VEHICLE REGISTRATION</t>
  </si>
  <si>
    <t>MOTOR VEHICLE REGISTRATION (County)</t>
  </si>
  <si>
    <t>16-210-110</t>
  </si>
  <si>
    <t>16-210-112</t>
  </si>
  <si>
    <t>16-210-111</t>
  </si>
  <si>
    <t>16-210-113</t>
  </si>
  <si>
    <t>16-210-501</t>
  </si>
  <si>
    <t>PRECINCT TRANSFER</t>
  </si>
  <si>
    <t>17-210-110</t>
  </si>
  <si>
    <t>17-210-112</t>
  </si>
  <si>
    <t>17-210-111</t>
  </si>
  <si>
    <t>17-210-113</t>
  </si>
  <si>
    <t>18-210-110</t>
  </si>
  <si>
    <t>18-210-112</t>
  </si>
  <si>
    <t>18-210-111</t>
  </si>
  <si>
    <t>18-210-113</t>
  </si>
  <si>
    <t>PRECINCT TOTALS</t>
  </si>
  <si>
    <t>TOTALS</t>
  </si>
  <si>
    <t>EST BAL OCT 1 - GEN</t>
  </si>
  <si>
    <t>EST BAL OCT 1 - PREC</t>
  </si>
  <si>
    <t>RAILROAD ROLLING STOCK &amp;</t>
  </si>
  <si>
    <t>EST. PROP VALUE (GEN)</t>
  </si>
  <si>
    <t>EST. PROP VALUE (LAT. RD)</t>
  </si>
  <si>
    <t>CALCULATED PREC REVENUE</t>
  </si>
  <si>
    <t>CALCULATED GEN. REVENUE</t>
  </si>
  <si>
    <t>GENERAL FUND</t>
  </si>
  <si>
    <t>SPECIAL LATERAL ROAD</t>
  </si>
  <si>
    <t>Per Penny of Tax Gen Fund</t>
  </si>
  <si>
    <t>Per Penny of Tax Precinct Special Lateral Road</t>
  </si>
  <si>
    <t>General Fund</t>
  </si>
  <si>
    <t>County Road &amp; Bridge</t>
  </si>
  <si>
    <t>Special Lateral Road</t>
  </si>
  <si>
    <t>FY-2017  BUDGET</t>
  </si>
  <si>
    <t>Delinquent Taxes</t>
  </si>
  <si>
    <t>COUNTY GENERAL TAX BASE FY-2017</t>
  </si>
  <si>
    <t>COUNTY LAT. RD. TAX BASE FY-2017</t>
  </si>
  <si>
    <t>RAILROAD ROLLING STOCK</t>
  </si>
  <si>
    <t>Included in Appraised Value</t>
  </si>
  <si>
    <t>SPECIAL LAT. RD. TAX ( $.08)</t>
  </si>
  <si>
    <t>STATE LAT. RD. TAX</t>
  </si>
  <si>
    <t xml:space="preserve"> COUNTY ROAD &amp; BRIDGE ($.06)</t>
  </si>
  <si>
    <t>M.V.R. STATE</t>
  </si>
  <si>
    <t xml:space="preserve">M.V.R. COUNTY </t>
  </si>
  <si>
    <t>GROSS PREC. REVENUE</t>
  </si>
  <si>
    <t>PREC. 1</t>
  </si>
  <si>
    <t>PREC. 2</t>
  </si>
  <si>
    <t>PREC. 3</t>
  </si>
  <si>
    <t xml:space="preserve">PREC. 4 </t>
  </si>
  <si>
    <t>STATE LAT. RD</t>
  </si>
  <si>
    <t>SPEC. LAT. RD</t>
  </si>
  <si>
    <t>COUNTY ROAD &amp; BRIDGE</t>
  </si>
  <si>
    <t>M.V.R STATE</t>
  </si>
  <si>
    <t>M.V.R. COUNTY</t>
  </si>
  <si>
    <t>PREC/PREC TRANSFER (ADD)</t>
  </si>
  <si>
    <t xml:space="preserve"> </t>
  </si>
  <si>
    <t xml:space="preserve">C.COURT   APPROVED  FY-2014 </t>
  </si>
  <si>
    <t>ACTIVITY          6 MONTHS     FY-2014</t>
  </si>
  <si>
    <t>ACTIVITY 6 MONTHS FY2015</t>
  </si>
  <si>
    <t>DEPT. REQUEST FY2016</t>
  </si>
  <si>
    <t>APPROVED      FY 2016 BUDGET</t>
  </si>
  <si>
    <t>ACTIVITY 6 MONTHS FY2016</t>
  </si>
  <si>
    <t>DEPT. REQUEST FY2017</t>
  </si>
  <si>
    <t>10-400-101</t>
  </si>
  <si>
    <t>JUDGE</t>
  </si>
  <si>
    <t>10-400-102</t>
  </si>
  <si>
    <t>10-400-107</t>
  </si>
  <si>
    <t>TEMPORARY LABOR</t>
  </si>
  <si>
    <t>10-400-108</t>
  </si>
  <si>
    <t>LONGEVITY</t>
  </si>
  <si>
    <t>10-400-211</t>
  </si>
  <si>
    <t>ANNUAL JUDICIAL SUPPLEMENT</t>
  </si>
  <si>
    <t>10-400-212</t>
  </si>
  <si>
    <t>ADDITIONAL STATE SUPPLEMENT</t>
  </si>
  <si>
    <t>10-400-109</t>
  </si>
  <si>
    <t>WORKERS COMP</t>
  </si>
  <si>
    <t>10-400-110</t>
  </si>
  <si>
    <t>RETIREMENT</t>
  </si>
  <si>
    <t>10-400-200</t>
  </si>
  <si>
    <t>MEDICARE</t>
  </si>
  <si>
    <t>10-400-201</t>
  </si>
  <si>
    <t>SOCIAL SECURITY</t>
  </si>
  <si>
    <t>10-400-202</t>
  </si>
  <si>
    <t>INSURANCE</t>
  </si>
  <si>
    <t>10-400-203</t>
  </si>
  <si>
    <t>UNEMPLOYMENT</t>
  </si>
  <si>
    <t>10-400-210</t>
  </si>
  <si>
    <t>VEHICLE ALLOWANCE</t>
  </si>
  <si>
    <t>10-400-310</t>
  </si>
  <si>
    <t>SUPPLIES</t>
  </si>
  <si>
    <t>10-400-315</t>
  </si>
  <si>
    <t>POSTAGE</t>
  </si>
  <si>
    <t>10-400-320</t>
  </si>
  <si>
    <t>PUBLICATIONS</t>
  </si>
  <si>
    <t>10-400-326</t>
  </si>
  <si>
    <t>COPIER - MAINTENANCE</t>
  </si>
  <si>
    <t>10-400-410</t>
  </si>
  <si>
    <t>BOND</t>
  </si>
  <si>
    <t>10-400-418</t>
  </si>
  <si>
    <t>TRAINING &amp; EDUCATION</t>
  </si>
  <si>
    <t>10-400-419</t>
  </si>
  <si>
    <t>PROFESSIONAL DUES</t>
  </si>
  <si>
    <t>10-400-420</t>
  </si>
  <si>
    <t>TELEPHONE</t>
  </si>
  <si>
    <t>10-400-425</t>
  </si>
  <si>
    <t>TRAVEL &amp; LOCAL MILEAGE</t>
  </si>
  <si>
    <t>10-400-499</t>
  </si>
  <si>
    <t>MISCELLANEOUS</t>
  </si>
  <si>
    <t>10-400-501</t>
  </si>
  <si>
    <t>COMPUTER EXPENSE</t>
  </si>
  <si>
    <t>10-400-502</t>
  </si>
  <si>
    <t>COMPUTER EQUIPMENT - Color Printer</t>
  </si>
  <si>
    <t>10-400-601</t>
  </si>
  <si>
    <t>FURNITURE &amp; EQUIPMENT</t>
  </si>
  <si>
    <t>10-400-602</t>
  </si>
  <si>
    <t>PORTABLE RADIO</t>
  </si>
  <si>
    <t>COUNTY / DISTRICT CLERK</t>
  </si>
  <si>
    <t>APPROVED         FY - 2015   BUDGET</t>
  </si>
  <si>
    <t xml:space="preserve">  APPROVED   FY 2016        BUDGET</t>
  </si>
  <si>
    <t>10-403-101</t>
  </si>
  <si>
    <t>CLERK</t>
  </si>
  <si>
    <t>10-403-102</t>
  </si>
  <si>
    <t>CHIEF DEPUTIES SALARY</t>
  </si>
  <si>
    <t>DEPUTY SALARY</t>
  </si>
  <si>
    <t>PART-TIME DEPUTY SALARY</t>
  </si>
  <si>
    <t>10-403-107</t>
  </si>
  <si>
    <t>10-403-108</t>
  </si>
  <si>
    <t>10-403-109</t>
  </si>
  <si>
    <t>10-403-110</t>
  </si>
  <si>
    <t>10-403-200</t>
  </si>
  <si>
    <t>10-403-201</t>
  </si>
  <si>
    <t>10-403-202</t>
  </si>
  <si>
    <t>10-403-203</t>
  </si>
  <si>
    <t>10-403-310</t>
  </si>
  <si>
    <t>OFFICE SUPPLIES</t>
  </si>
  <si>
    <t>10-403-315</t>
  </si>
  <si>
    <t>10-403-325</t>
  </si>
  <si>
    <t>COPY MACHINE REPAIR</t>
  </si>
  <si>
    <t>10-403-410</t>
  </si>
  <si>
    <t>10-403-418</t>
  </si>
  <si>
    <t>10-403-419</t>
  </si>
  <si>
    <t>10-403-420</t>
  </si>
  <si>
    <t>10-403-425</t>
  </si>
  <si>
    <t>10-403-436</t>
  </si>
  <si>
    <t>OLD RECORDS &amp; BOOK REPAIR</t>
  </si>
  <si>
    <t>10-403-504</t>
  </si>
  <si>
    <t>SOFTWARE-MAINT CONTRACT</t>
  </si>
  <si>
    <t>10-403-505</t>
  </si>
  <si>
    <t>COPIER  (LEASE)</t>
  </si>
  <si>
    <t>SCAN &amp; SORT MAINTENANCE</t>
  </si>
  <si>
    <t>COPY MACHINE PAYMENT</t>
  </si>
  <si>
    <t>OFFICE COPIES</t>
  </si>
  <si>
    <t>DEPT. REQUEST FY-2015</t>
  </si>
  <si>
    <t>APPROVED     FY - 2015   BUDGET</t>
  </si>
  <si>
    <t>10-406-101</t>
  </si>
  <si>
    <t>JUSTICE OF PEACE</t>
  </si>
  <si>
    <t>10-406-102</t>
  </si>
  <si>
    <t>DEPUTY</t>
  </si>
  <si>
    <t>10-406-106</t>
  </si>
  <si>
    <t xml:space="preserve">PART-TIME EMPLOYEE  </t>
  </si>
  <si>
    <t>10-406-107</t>
  </si>
  <si>
    <t>TEMPORARY EMPLOYEE</t>
  </si>
  <si>
    <t>10-406-108</t>
  </si>
  <si>
    <t>10-406-109</t>
  </si>
  <si>
    <t>WORKERS COMP.</t>
  </si>
  <si>
    <t>10-406-110</t>
  </si>
  <si>
    <t>10-406-200</t>
  </si>
  <si>
    <t>10-406-201</t>
  </si>
  <si>
    <t>10-406-202</t>
  </si>
  <si>
    <t>10-406-203</t>
  </si>
  <si>
    <t>10-406-310</t>
  </si>
  <si>
    <t>10-406-315</t>
  </si>
  <si>
    <t>10-406-320</t>
  </si>
  <si>
    <t>10-406-326</t>
  </si>
  <si>
    <t>COPY MACHINE MAINT. CONT.</t>
  </si>
  <si>
    <t>10-406-410</t>
  </si>
  <si>
    <t>10-406-418</t>
  </si>
  <si>
    <t>10-406-419</t>
  </si>
  <si>
    <t>DUES</t>
  </si>
  <si>
    <t>10-406-420</t>
  </si>
  <si>
    <t>10-406-425</t>
  </si>
  <si>
    <t>TRAVEL/LOCAL MILEAGE</t>
  </si>
  <si>
    <t>10-406-488</t>
  </si>
  <si>
    <t>JURY EXPENSE</t>
  </si>
  <si>
    <t>10-406-504</t>
  </si>
  <si>
    <t>COMPUTER SOFTWARE</t>
  </si>
  <si>
    <t>10-406-601</t>
  </si>
  <si>
    <t>EQUIPMENT</t>
  </si>
  <si>
    <t>10-406-636</t>
  </si>
  <si>
    <t>SPECIAL JUDGE/JP</t>
  </si>
  <si>
    <t>10-406-637</t>
  </si>
  <si>
    <t>MATERIAL REPAIR\BOOKSHELF</t>
  </si>
  <si>
    <t>10-406-638</t>
  </si>
  <si>
    <t>SERVER</t>
  </si>
  <si>
    <t>FURNITURE</t>
  </si>
  <si>
    <t>ATTORNEY PRO-TEM</t>
  </si>
  <si>
    <t>WIDMER AUTOMATIC TIME STAMP</t>
  </si>
  <si>
    <t>DEPT. REQUEST                          FY-2015</t>
  </si>
  <si>
    <t>APPROVED          FY - 2015   BUDGET</t>
  </si>
  <si>
    <t>APPROVED        FY 2016 BUDGET</t>
  </si>
  <si>
    <t>DEPT          REQUEST          FY2017</t>
  </si>
  <si>
    <t>10-409-101</t>
  </si>
  <si>
    <t>ATTORNEY</t>
  </si>
  <si>
    <t>INVESTIGATOR</t>
  </si>
  <si>
    <t>ASSISTANT ATTORNEY</t>
  </si>
  <si>
    <t>10-409-102</t>
  </si>
  <si>
    <t>10-409-104</t>
  </si>
  <si>
    <t>10-409-107</t>
  </si>
  <si>
    <t>PART-TIME LABOR</t>
  </si>
  <si>
    <t>10-409-108</t>
  </si>
  <si>
    <t>10-409-109</t>
  </si>
  <si>
    <t>10-409-110</t>
  </si>
  <si>
    <t>10-409-200</t>
  </si>
  <si>
    <t>10-409-201</t>
  </si>
  <si>
    <t>10-409-202</t>
  </si>
  <si>
    <t>10-409-203</t>
  </si>
  <si>
    <t>10-409-210</t>
  </si>
  <si>
    <t>CLOTHING ALLOWANCE</t>
  </si>
  <si>
    <t>10-409-310</t>
  </si>
  <si>
    <t>10-409-315</t>
  </si>
  <si>
    <t>10-409-320</t>
  </si>
  <si>
    <t>10-409-321</t>
  </si>
  <si>
    <t>Q-CASE</t>
  </si>
  <si>
    <t>10-409-326</t>
  </si>
  <si>
    <t>10-409-410</t>
  </si>
  <si>
    <t>BONDS</t>
  </si>
  <si>
    <t>10-409-418</t>
  </si>
  <si>
    <t>10-409-419</t>
  </si>
  <si>
    <t>10-409-420</t>
  </si>
  <si>
    <t>10-409-421</t>
  </si>
  <si>
    <t xml:space="preserve">CELL PHONE </t>
  </si>
  <si>
    <t>10-409-425</t>
  </si>
  <si>
    <t>TRAVEL-LOCAL</t>
  </si>
  <si>
    <t>10-409-430</t>
  </si>
  <si>
    <t>PRINTING</t>
  </si>
  <si>
    <t>10-409-440</t>
  </si>
  <si>
    <t>SPEC. PROSECUTIONS</t>
  </si>
  <si>
    <t>10-409-499</t>
  </si>
  <si>
    <t>10-409-501</t>
  </si>
  <si>
    <t>10-409-350</t>
  </si>
  <si>
    <t>VEHICLE OIL &amp; FUEL</t>
  </si>
  <si>
    <t>10-409-700</t>
  </si>
  <si>
    <t>CAR EQUIP / CAR</t>
  </si>
  <si>
    <t>10-409-715</t>
  </si>
  <si>
    <t xml:space="preserve"> INVESTIGATIONS</t>
  </si>
  <si>
    <t>10-409-450</t>
  </si>
  <si>
    <t>VEHICLE REPAIR &amp; MAINT</t>
  </si>
  <si>
    <t>10-409-708</t>
  </si>
  <si>
    <t>PORTABLE RADIOS</t>
  </si>
  <si>
    <t>10-409-709</t>
  </si>
  <si>
    <t>FILING CABINETS</t>
  </si>
  <si>
    <t>10-409-716</t>
  </si>
  <si>
    <t>APPELLATE WORK</t>
  </si>
  <si>
    <t>DEPT.     REQUEST       FY-2015</t>
  </si>
  <si>
    <t>ACTIVITY 6 MONTHS FY 2015</t>
  </si>
  <si>
    <t>ACTIVITY          6 MONTHS FY2016</t>
  </si>
  <si>
    <t>10-411-101</t>
  </si>
  <si>
    <t>10-411-102</t>
  </si>
  <si>
    <t>10-411-106</t>
  </si>
  <si>
    <t>PART-TIME DEPUTY</t>
  </si>
  <si>
    <t>10-411-108</t>
  </si>
  <si>
    <t>10-411-109</t>
  </si>
  <si>
    <t>10-411-110</t>
  </si>
  <si>
    <t>10-411-200</t>
  </si>
  <si>
    <t>10-411-201</t>
  </si>
  <si>
    <t>10-411-202</t>
  </si>
  <si>
    <t>10-411-203</t>
  </si>
  <si>
    <t>10-411-310</t>
  </si>
  <si>
    <t>10-411-315</t>
  </si>
  <si>
    <t>10-411-320</t>
  </si>
  <si>
    <t>10-411-325</t>
  </si>
  <si>
    <t>COPY MACHINE</t>
  </si>
  <si>
    <t>10-411-326</t>
  </si>
  <si>
    <t>MAINTENANCE CONTRACT</t>
  </si>
  <si>
    <t>10-411-410</t>
  </si>
  <si>
    <t>10-411-418</t>
  </si>
  <si>
    <t>10-411-419</t>
  </si>
  <si>
    <t>10-411-420</t>
  </si>
  <si>
    <t>10-411-430</t>
  </si>
  <si>
    <t>C.I.O./H.R.I. COURSES</t>
  </si>
  <si>
    <t>10-411-452</t>
  </si>
  <si>
    <t>MACHINE/COMPUTER REPAIR</t>
  </si>
  <si>
    <t>10-411-499</t>
  </si>
  <si>
    <t>10-411-500</t>
  </si>
  <si>
    <t>COMPUTER CONTR.-SOFTWARE</t>
  </si>
  <si>
    <t>10-411-505</t>
  </si>
  <si>
    <t>COMPUTER UPDATE</t>
  </si>
  <si>
    <t>10-411-510</t>
  </si>
  <si>
    <t>10-411-512</t>
  </si>
  <si>
    <t>ADMN ASSISTANT TRAINING</t>
  </si>
  <si>
    <t>COMPUTER &amp; DOCKING STATION</t>
  </si>
  <si>
    <t>3 LOCKING FILE CABINETS</t>
  </si>
  <si>
    <t>10-411-515</t>
  </si>
  <si>
    <t>OFFICE CHAIRS</t>
  </si>
  <si>
    <t>10-414-101</t>
  </si>
  <si>
    <t>TAX COLLECTOR</t>
  </si>
  <si>
    <t>RAISES</t>
  </si>
  <si>
    <t>10-414-102</t>
  </si>
  <si>
    <t>DEPUTIES SALARY</t>
  </si>
  <si>
    <t>REQUESTED</t>
  </si>
  <si>
    <t>10-414-107</t>
  </si>
  <si>
    <t>10-414-108</t>
  </si>
  <si>
    <t>10-414-109</t>
  </si>
  <si>
    <t>10-414-110</t>
  </si>
  <si>
    <t>10-414-200</t>
  </si>
  <si>
    <t>10-414-201</t>
  </si>
  <si>
    <t>10-414-202</t>
  </si>
  <si>
    <t>10-414-203</t>
  </si>
  <si>
    <t>10-414-310</t>
  </si>
  <si>
    <t>10-414-315</t>
  </si>
  <si>
    <t>10-414-325</t>
  </si>
  <si>
    <t>10-414-410</t>
  </si>
  <si>
    <t>10-414-418</t>
  </si>
  <si>
    <t>10-414-419</t>
  </si>
  <si>
    <t>DUES &amp; PUBLICATIONS</t>
  </si>
  <si>
    <t>10-414-420</t>
  </si>
  <si>
    <t>10-414-423</t>
  </si>
  <si>
    <t>CONTRACT LAB/HAPPY</t>
  </si>
  <si>
    <t>10-414-425</t>
  </si>
  <si>
    <t>10-414-495</t>
  </si>
  <si>
    <t>FILING FEES</t>
  </si>
  <si>
    <t>10-414-499</t>
  </si>
  <si>
    <t>10-414-505</t>
  </si>
  <si>
    <t>COMPUTER-CONTRACT (LPS)</t>
  </si>
  <si>
    <t>10-414-601</t>
  </si>
  <si>
    <t>10-414-602</t>
  </si>
  <si>
    <t>FURNITURE FOR RTS</t>
  </si>
  <si>
    <t>10-414-605</t>
  </si>
  <si>
    <t>PAPER SHREDDER</t>
  </si>
  <si>
    <t>10-414-700</t>
  </si>
  <si>
    <t>INTERNET</t>
  </si>
  <si>
    <t>APPROVED       FY - 2015   BUDGET</t>
  </si>
  <si>
    <t>10-420-101</t>
  </si>
  <si>
    <t>SHERIFF</t>
  </si>
  <si>
    <t>10-420-102</t>
  </si>
  <si>
    <t>10-420-103</t>
  </si>
  <si>
    <t>10-420-104</t>
  </si>
  <si>
    <t>10-420-106</t>
  </si>
  <si>
    <t>CHIEF DEPUTY SUPPLEMENT</t>
  </si>
  <si>
    <t>DEPUTY/CLERICAL</t>
  </si>
  <si>
    <t>10-420-105</t>
  </si>
  <si>
    <t>OVERTIME</t>
  </si>
  <si>
    <t>10-420-108</t>
  </si>
  <si>
    <t>10-420-109</t>
  </si>
  <si>
    <t>10-420-110</t>
  </si>
  <si>
    <t>10-420-200</t>
  </si>
  <si>
    <t>10-420-201</t>
  </si>
  <si>
    <t>10-420-202</t>
  </si>
  <si>
    <t>10-420-203</t>
  </si>
  <si>
    <t>10-420-210</t>
  </si>
  <si>
    <t>10-420-212</t>
  </si>
  <si>
    <t>HEPATITIS VACCINE</t>
  </si>
  <si>
    <t>10-420-310</t>
  </si>
  <si>
    <t>10-420-315</t>
  </si>
  <si>
    <t>10-420-325</t>
  </si>
  <si>
    <t>COPIER</t>
  </si>
  <si>
    <t>10-420-326</t>
  </si>
  <si>
    <t>COPIER-MAINT CONTRACT</t>
  </si>
  <si>
    <t>10-420-335</t>
  </si>
  <si>
    <t>INMATE TRANSPORTATION</t>
  </si>
  <si>
    <t>10-420-350</t>
  </si>
  <si>
    <t>10-420-394</t>
  </si>
  <si>
    <t>DISPATCH CONTRACT</t>
  </si>
  <si>
    <t>10-420-410</t>
  </si>
  <si>
    <t>10-420-418</t>
  </si>
  <si>
    <t>10-420-419</t>
  </si>
  <si>
    <t>10-420-420</t>
  </si>
  <si>
    <t>10-420-421</t>
  </si>
  <si>
    <t>CELL PHONE REIMBURSEMENT</t>
  </si>
  <si>
    <t>10-420-450</t>
  </si>
  <si>
    <t>10-420-451</t>
  </si>
  <si>
    <t>RADIO REPAIR</t>
  </si>
  <si>
    <t>10-420-499</t>
  </si>
  <si>
    <t>10-420-550</t>
  </si>
  <si>
    <t>CAPITAL EQUIPMENT</t>
  </si>
  <si>
    <t>10-420-551</t>
  </si>
  <si>
    <t>CRIM. INVEST. EQUIP.</t>
  </si>
  <si>
    <t>10-420-601</t>
  </si>
  <si>
    <t>TRAINING EQUIP. &amp; AMMO</t>
  </si>
  <si>
    <t>10-420-650</t>
  </si>
  <si>
    <t>K-9 BUDGET</t>
  </si>
  <si>
    <t>10-420-701</t>
  </si>
  <si>
    <t>LEOSE STATE TRAINING &amp; ED</t>
  </si>
  <si>
    <t>10-420-700</t>
  </si>
  <si>
    <t>10-420-705</t>
  </si>
  <si>
    <t>DONATION</t>
  </si>
  <si>
    <t>10-420-706</t>
  </si>
  <si>
    <t>10-420-707</t>
  </si>
  <si>
    <t>IN-CAR VIDEO</t>
  </si>
  <si>
    <t>10-420-708</t>
  </si>
  <si>
    <t>CAR RADIOS</t>
  </si>
  <si>
    <t>10-420-709</t>
  </si>
  <si>
    <t>LIGHTS AND SIRENS</t>
  </si>
  <si>
    <t>10-420-710</t>
  </si>
  <si>
    <t>VINE GRANT EXPENSE</t>
  </si>
  <si>
    <t>LEASE PAYMENT (2 UNITS)</t>
  </si>
  <si>
    <t>10-420-715</t>
  </si>
  <si>
    <t>TASER</t>
  </si>
  <si>
    <t>LEADS ONLINE</t>
  </si>
  <si>
    <t>VEST CARRIERS &amp; ARMOUR PLATES</t>
  </si>
  <si>
    <t>BODY CAMERAS  (2)</t>
  </si>
  <si>
    <t>UNIFORMS</t>
  </si>
  <si>
    <t>TABLETS &amp; PROTECTOR CASES</t>
  </si>
  <si>
    <t>APPROVED      FY - 2015   BUDGET</t>
  </si>
  <si>
    <t xml:space="preserve"> APPROVED     FY 2016 BUDGET</t>
  </si>
  <si>
    <t>10-423-102</t>
  </si>
  <si>
    <t xml:space="preserve">CHIEF JAILER </t>
  </si>
  <si>
    <t>10-423-104</t>
  </si>
  <si>
    <t>JAILER  (2)</t>
  </si>
  <si>
    <t>10-423-111</t>
  </si>
  <si>
    <t>10-423-112</t>
  </si>
  <si>
    <t>10-423-113</t>
  </si>
  <si>
    <t>JAILER  (1)</t>
  </si>
  <si>
    <t>10-423-115</t>
  </si>
  <si>
    <t>COOKS SALARY</t>
  </si>
  <si>
    <t>10-423-105</t>
  </si>
  <si>
    <t>10-423-107</t>
  </si>
  <si>
    <t>PART-TIME EMPLOYEE</t>
  </si>
  <si>
    <t>10-423-108</t>
  </si>
  <si>
    <t>10-423-109</t>
  </si>
  <si>
    <t>10-423-110</t>
  </si>
  <si>
    <t>10-423-200</t>
  </si>
  <si>
    <t>10-423-201</t>
  </si>
  <si>
    <t>10-423-202</t>
  </si>
  <si>
    <t>10-423-203</t>
  </si>
  <si>
    <t>10-423-210</t>
  </si>
  <si>
    <t>10-423-211</t>
  </si>
  <si>
    <t>OFFICER TESTING</t>
  </si>
  <si>
    <t>10-423-212</t>
  </si>
  <si>
    <t>HEPATITIS VACCINATION</t>
  </si>
  <si>
    <t>10-423-310</t>
  </si>
  <si>
    <t>10-423-311</t>
  </si>
  <si>
    <t>OPERATION SUPPLIES</t>
  </si>
  <si>
    <t>10-423-330</t>
  </si>
  <si>
    <t>INMATE - MEALS</t>
  </si>
  <si>
    <t>10-423-331</t>
  </si>
  <si>
    <t>INMATE - MEDICAL</t>
  </si>
  <si>
    <t>10-423-332</t>
  </si>
  <si>
    <t>INMATE KEEP -  OVERFLOW</t>
  </si>
  <si>
    <t>10-423-333</t>
  </si>
  <si>
    <t>INMATE KEEP - FEMALE</t>
  </si>
  <si>
    <t>10-423-334</t>
  </si>
  <si>
    <t>INMATE KEEP/DRISKILL HOUSE</t>
  </si>
  <si>
    <t>10-423-418</t>
  </si>
  <si>
    <t>TRAINING/EDUCATION</t>
  </si>
  <si>
    <t>10-423-420</t>
  </si>
  <si>
    <t>INMATE TELEPHONE</t>
  </si>
  <si>
    <t>10-423-421</t>
  </si>
  <si>
    <t>CELL PHONE REIMBURSE</t>
  </si>
  <si>
    <t>10-423-452</t>
  </si>
  <si>
    <t>EQUIPMENT REPAIR</t>
  </si>
  <si>
    <t>10-423-499</t>
  </si>
  <si>
    <t>10-423-501</t>
  </si>
  <si>
    <t>COMPUTER SYSTEM PROGRAM</t>
  </si>
  <si>
    <t>10-423-550</t>
  </si>
  <si>
    <t>CAP EQUIP. PURCHASE</t>
  </si>
  <si>
    <t>10-423-551</t>
  </si>
  <si>
    <t>BOUND BOOKS</t>
  </si>
  <si>
    <t>10-423-552</t>
  </si>
  <si>
    <t>BREATHING APPARATIS</t>
  </si>
  <si>
    <t>10-423-553</t>
  </si>
  <si>
    <t>VISITOR LOCKER</t>
  </si>
  <si>
    <t xml:space="preserve">COMPUTER UPGRADE </t>
  </si>
  <si>
    <t>EXERCISE YARD FENCE REPAIR</t>
  </si>
  <si>
    <t>INTERCOM SYSTEM</t>
  </si>
  <si>
    <t>KITCHEN CABINETS</t>
  </si>
  <si>
    <t>KITCHEN FLOOR</t>
  </si>
  <si>
    <t>INTERIOR PAINTING</t>
  </si>
  <si>
    <t xml:space="preserve">OC PISTOL (2) </t>
  </si>
  <si>
    <t>A E D  (2)</t>
  </si>
  <si>
    <t>GENERATOR SECURITY FENCE</t>
  </si>
  <si>
    <t>DETENTION OFFICER CAMERAS (2)</t>
  </si>
  <si>
    <t>10-423-554</t>
  </si>
  <si>
    <t xml:space="preserve">LIGHTING </t>
  </si>
  <si>
    <t>10-423-556</t>
  </si>
  <si>
    <t>SINK/TOILET FIXTURES</t>
  </si>
  <si>
    <t>Benefit Payout</t>
  </si>
  <si>
    <t>APPROVED            FY - 2015   BUDGET</t>
  </si>
  <si>
    <t>10-426-102</t>
  </si>
  <si>
    <t>CUSTODIAN/DEPT HEAD</t>
  </si>
  <si>
    <t>10-426-107</t>
  </si>
  <si>
    <t>PART-TIME MAINTENANCE</t>
  </si>
  <si>
    <t>10-426-108</t>
  </si>
  <si>
    <t>10-426-109</t>
  </si>
  <si>
    <t>10-426-110</t>
  </si>
  <si>
    <t>10-426-200</t>
  </si>
  <si>
    <t>10-426-201</t>
  </si>
  <si>
    <t>10-426-202</t>
  </si>
  <si>
    <t>10-426-203</t>
  </si>
  <si>
    <t>10-426-310</t>
  </si>
  <si>
    <t>JANITOR SUPPLIES</t>
  </si>
  <si>
    <t>10-426-311</t>
  </si>
  <si>
    <t>KITCHEN SUPPLIES</t>
  </si>
  <si>
    <t>10-426-312</t>
  </si>
  <si>
    <t>JANITORIAL- CONTR-ANNEX</t>
  </si>
  <si>
    <t>10-426-313</t>
  </si>
  <si>
    <t>GENERAL SUPPLIES</t>
  </si>
  <si>
    <t>10-426-314</t>
  </si>
  <si>
    <t>LANDSCAPE MAINT. SERV.</t>
  </si>
  <si>
    <t>10-426-440</t>
  </si>
  <si>
    <t>UTILITIES</t>
  </si>
  <si>
    <t>10-426-442</t>
  </si>
  <si>
    <t>TDHHS BUILDING REPAIRS</t>
  </si>
  <si>
    <t>10-426-443</t>
  </si>
  <si>
    <t xml:space="preserve">ANNEX BUILDING REPAIRS </t>
  </si>
  <si>
    <t>10-426-444</t>
  </si>
  <si>
    <t>BUILDING RENOVATIONS</t>
  </si>
  <si>
    <t>10-426-445</t>
  </si>
  <si>
    <t>BUILDING REPAIR</t>
  </si>
  <si>
    <t>10-426-446</t>
  </si>
  <si>
    <t>JAIL REPAIR</t>
  </si>
  <si>
    <t>10-426-447</t>
  </si>
  <si>
    <t>HEAT- A.C. REPAIR</t>
  </si>
  <si>
    <t>10-426-499</t>
  </si>
  <si>
    <t>10-426-601</t>
  </si>
  <si>
    <t>EQUIPMENT &amp; TOOLS</t>
  </si>
  <si>
    <t>10-426-602</t>
  </si>
  <si>
    <t>10-426-605</t>
  </si>
  <si>
    <t>PHONE SYSTEM - ANNEX</t>
  </si>
  <si>
    <t>10-426-610</t>
  </si>
  <si>
    <t xml:space="preserve">COMPUTER REPLACEMENT </t>
  </si>
  <si>
    <t>10-426-611</t>
  </si>
  <si>
    <t>LIGHTING EXPENSE</t>
  </si>
  <si>
    <t>10-426-612</t>
  </si>
  <si>
    <t>ELEVATOR REPAIRS</t>
  </si>
  <si>
    <t>10-426-615</t>
  </si>
  <si>
    <t>DEPT. OF PUBLIC SAFETY</t>
  </si>
  <si>
    <t>APPROVED FY - 2015   BUDGET</t>
  </si>
  <si>
    <t xml:space="preserve">APPROVED   FY 2016        BUDGET   </t>
  </si>
  <si>
    <t>10-429-106</t>
  </si>
  <si>
    <t>SECRETARY</t>
  </si>
  <si>
    <t>10-429-108</t>
  </si>
  <si>
    <t>10-429-109</t>
  </si>
  <si>
    <t>10-429-110</t>
  </si>
  <si>
    <t>10-429-200</t>
  </si>
  <si>
    <t>10-429-201</t>
  </si>
  <si>
    <t>10-429-310</t>
  </si>
  <si>
    <t>10-429-326</t>
  </si>
  <si>
    <t>10-429-394</t>
  </si>
  <si>
    <t>10-429-420</t>
  </si>
  <si>
    <t>10-429-452</t>
  </si>
  <si>
    <t>EQUIPMENT MAINT</t>
  </si>
  <si>
    <t>10-429-601</t>
  </si>
  <si>
    <t>EQUIPMENT PURCHASE</t>
  </si>
  <si>
    <t>10-429-610</t>
  </si>
  <si>
    <t>RADAR</t>
  </si>
  <si>
    <t>10-429-611</t>
  </si>
  <si>
    <t>FAX LINE</t>
  </si>
  <si>
    <t xml:space="preserve"> VETERANS SERVICE OFFICER </t>
  </si>
  <si>
    <t xml:space="preserve">APPROVED        FY 2016        BUDGET   </t>
  </si>
  <si>
    <t xml:space="preserve"> 10-431-106 </t>
  </si>
  <si>
    <t xml:space="preserve"> V S O  </t>
  </si>
  <si>
    <t xml:space="preserve"> 10-431-200 </t>
  </si>
  <si>
    <t xml:space="preserve"> MEDICARE </t>
  </si>
  <si>
    <t xml:space="preserve"> 10-431-201 </t>
  </si>
  <si>
    <t xml:space="preserve"> SOCIAL SECURITY </t>
  </si>
  <si>
    <t xml:space="preserve"> 10-431-310 </t>
  </si>
  <si>
    <t xml:space="preserve"> SUPPLIES </t>
  </si>
  <si>
    <t xml:space="preserve"> 10-431-315 </t>
  </si>
  <si>
    <t xml:space="preserve"> POSTAGE </t>
  </si>
  <si>
    <t xml:space="preserve"> 10-431-418 </t>
  </si>
  <si>
    <t xml:space="preserve"> TRAINING &amp; EDUCATION </t>
  </si>
  <si>
    <t xml:space="preserve"> 10-431-420 </t>
  </si>
  <si>
    <t xml:space="preserve"> TELEPHONE &amp; INTERNET</t>
  </si>
  <si>
    <t xml:space="preserve"> 10-431-462 </t>
  </si>
  <si>
    <t xml:space="preserve"> BOX RENT </t>
  </si>
  <si>
    <t xml:space="preserve"> 10-431-601 </t>
  </si>
  <si>
    <t xml:space="preserve"> COMPUTER &amp; PRINTER </t>
  </si>
  <si>
    <t xml:space="preserve"> TOTALS </t>
  </si>
  <si>
    <t xml:space="preserve">APPROVED       FY 2016        BUDGET   </t>
  </si>
  <si>
    <t>10-434-102</t>
  </si>
  <si>
    <t>10-434-103</t>
  </si>
  <si>
    <t>AG AGENT</t>
  </si>
  <si>
    <t>10-434-104</t>
  </si>
  <si>
    <t>FCS  AGENT</t>
  </si>
  <si>
    <t>10-434-106</t>
  </si>
  <si>
    <t>STUDENT PROGRAM</t>
  </si>
  <si>
    <t>10-434-107</t>
  </si>
  <si>
    <t>SECRETARY(PART TIME)</t>
  </si>
  <si>
    <t>10-434-108</t>
  </si>
  <si>
    <t>10-434-109</t>
  </si>
  <si>
    <t>10-434-110</t>
  </si>
  <si>
    <t>10-434-200</t>
  </si>
  <si>
    <t>10-434-201</t>
  </si>
  <si>
    <t>10-434-202</t>
  </si>
  <si>
    <t>10-434-203</t>
  </si>
  <si>
    <t>10-434-307</t>
  </si>
  <si>
    <t>DEMONSTRATION FEES</t>
  </si>
  <si>
    <t>10-434-308</t>
  </si>
  <si>
    <t>SUPPLIES - COPY MACHINE</t>
  </si>
  <si>
    <t>10-434-309</t>
  </si>
  <si>
    <t>SUPPLIES-PROGRAM</t>
  </si>
  <si>
    <t>10-434-310</t>
  </si>
  <si>
    <t>SUPPLIES-OFFICE</t>
  </si>
  <si>
    <t>10-434-315</t>
  </si>
  <si>
    <t>10-434-326</t>
  </si>
  <si>
    <t>10-434-350</t>
  </si>
  <si>
    <t>FUEL</t>
  </si>
  <si>
    <t>10-434-420</t>
  </si>
  <si>
    <t>10-434-421</t>
  </si>
  <si>
    <t>AG.AGENT TRAVEL</t>
  </si>
  <si>
    <t>10-434-422</t>
  </si>
  <si>
    <t>FCS AGENT TRAVEL</t>
  </si>
  <si>
    <t>10-434-423</t>
  </si>
  <si>
    <t>PROG. ASST. MILEAGE</t>
  </si>
  <si>
    <t>10-434-424</t>
  </si>
  <si>
    <t>PROG. ASST. TRAVEL</t>
  </si>
  <si>
    <t>10-434-450</t>
  </si>
  <si>
    <t>VEHICLE REPAIR</t>
  </si>
  <si>
    <t>10-434-451</t>
  </si>
  <si>
    <t>VEHICLE REPLACEMENT</t>
  </si>
  <si>
    <t>10-434-501</t>
  </si>
  <si>
    <t>10-434-600</t>
  </si>
  <si>
    <t>CELL PHONE STIPEND</t>
  </si>
  <si>
    <t>10-434-601</t>
  </si>
  <si>
    <t>10-434-602</t>
  </si>
  <si>
    <t>VOLUNTEER SCREENING FEES</t>
  </si>
  <si>
    <t>10-434-603</t>
  </si>
  <si>
    <t>PROFESSIONAL DEVELOPMENT</t>
  </si>
  <si>
    <t>10-437-101</t>
  </si>
  <si>
    <t>HEAD LIBRARIAN</t>
  </si>
  <si>
    <t>10-437-102</t>
  </si>
  <si>
    <t>ASST LIBRARIAN SALARY</t>
  </si>
  <si>
    <t>10-437-103</t>
  </si>
  <si>
    <t>COMPUTER/LIB. CLERK</t>
  </si>
  <si>
    <t>10-437-104</t>
  </si>
  <si>
    <t>SUMMER CLERK</t>
  </si>
  <si>
    <t>10-437-106</t>
  </si>
  <si>
    <t>JANITOR SALARY</t>
  </si>
  <si>
    <t>10-437-107</t>
  </si>
  <si>
    <t>10-437-108</t>
  </si>
  <si>
    <t>10-437-109</t>
  </si>
  <si>
    <t>10-437-110</t>
  </si>
  <si>
    <t>10-437-200</t>
  </si>
  <si>
    <t>10-437-201</t>
  </si>
  <si>
    <t>10-437-202</t>
  </si>
  <si>
    <t>10-437-203</t>
  </si>
  <si>
    <t>10-437-310</t>
  </si>
  <si>
    <t>10-437-311</t>
  </si>
  <si>
    <t>COPY PAPER &amp; SUPPLIES</t>
  </si>
  <si>
    <t>10-437-312</t>
  </si>
  <si>
    <t>JANITORIAL SUPPLIES</t>
  </si>
  <si>
    <t>10-437-315</t>
  </si>
  <si>
    <t>10-437-326</t>
  </si>
  <si>
    <t>MAINT. CONTRACT/COPIER</t>
  </si>
  <si>
    <t>10-437-415</t>
  </si>
  <si>
    <t>SUMMER READING PROGRAMS</t>
  </si>
  <si>
    <t>10-437-418</t>
  </si>
  <si>
    <t>10-437-419</t>
  </si>
  <si>
    <t>10-437-420</t>
  </si>
  <si>
    <t>10-437-440</t>
  </si>
  <si>
    <t>10-437-461</t>
  </si>
  <si>
    <t>BOOKS &amp; TAPES</t>
  </si>
  <si>
    <t>10-437-462</t>
  </si>
  <si>
    <t>SUBSCRIPTIONS</t>
  </si>
  <si>
    <t>10-437-463</t>
  </si>
  <si>
    <t>BOOK BINDING</t>
  </si>
  <si>
    <t>10-437-498</t>
  </si>
  <si>
    <t>MEM. BLDG. RENTAL</t>
  </si>
  <si>
    <t>10-437-499</t>
  </si>
  <si>
    <t>10-437-500</t>
  </si>
  <si>
    <t>HARRINGTON CONSORTIUM DUES</t>
  </si>
  <si>
    <t>10-437-505</t>
  </si>
  <si>
    <t>COMPUTER TELEPHONE LINE</t>
  </si>
  <si>
    <t>10-437-506</t>
  </si>
  <si>
    <t>97 PIN</t>
  </si>
  <si>
    <t>10-437-504</t>
  </si>
  <si>
    <t>COMPUTER SOFTWARE (AND HARDWARE) ?</t>
  </si>
  <si>
    <t>NEWSPAPER DIGITIZING</t>
  </si>
  <si>
    <t>10-437-508</t>
  </si>
  <si>
    <t>HAND-HELD BAR CODE SCANNER</t>
  </si>
  <si>
    <t>10-437-507</t>
  </si>
  <si>
    <t>COMPUTER REPAIRS</t>
  </si>
  <si>
    <t>10-437-509</t>
  </si>
  <si>
    <t xml:space="preserve">APPROVED     FY 2016        BUDGET   </t>
  </si>
  <si>
    <t>10-440-109</t>
  </si>
  <si>
    <t>WORKERS COMP. POOL</t>
  </si>
  <si>
    <t>10-440-110</t>
  </si>
  <si>
    <t>EMPLOYEES SUPPLEMENT DEATH</t>
  </si>
  <si>
    <t>10-440-199</t>
  </si>
  <si>
    <t>10-440-200</t>
  </si>
  <si>
    <t>10-440-201</t>
  </si>
  <si>
    <t>10-440-203</t>
  </si>
  <si>
    <t>UNEMPLOYMENT POOL</t>
  </si>
  <si>
    <t>10-440-204</t>
  </si>
  <si>
    <t>UNEMPLOYMENT PAYOUT</t>
  </si>
  <si>
    <t>10-440-315</t>
  </si>
  <si>
    <t>METERED POSTAGE</t>
  </si>
  <si>
    <t>10-440-316</t>
  </si>
  <si>
    <t>BULK FUEL EXPENSE</t>
  </si>
  <si>
    <t>10-440-320</t>
  </si>
  <si>
    <t>10-440-339</t>
  </si>
  <si>
    <t>FREIGHT &amp; SHIPPING</t>
  </si>
  <si>
    <t>10-440-398</t>
  </si>
  <si>
    <t>INDEPENDENT AUDITOR</t>
  </si>
  <si>
    <t>10-440-399</t>
  </si>
  <si>
    <t>SWISHER CO APPRAISAL DIST.</t>
  </si>
  <si>
    <t>10-440-400</t>
  </si>
  <si>
    <t>P.R.P.C.</t>
  </si>
  <si>
    <t>10-440-401</t>
  </si>
  <si>
    <t>ELECTION EXPENSE</t>
  </si>
  <si>
    <t>10-440-402</t>
  </si>
  <si>
    <t>LIAB POOL/AUTOMOBILES</t>
  </si>
  <si>
    <t>10-440-404</t>
  </si>
  <si>
    <t>10-440-408</t>
  </si>
  <si>
    <t>INDIGENT ASSIST. &amp; BURIALS</t>
  </si>
  <si>
    <t>10-440-409</t>
  </si>
  <si>
    <t>AUTOPSIES/PATHOLOGIST</t>
  </si>
  <si>
    <t>10-440-410</t>
  </si>
  <si>
    <t>ROOF REPAIRS</t>
  </si>
  <si>
    <t>10-440-411</t>
  </si>
  <si>
    <t>PROFESSIONAL SERVICES</t>
  </si>
  <si>
    <t>10-440-412</t>
  </si>
  <si>
    <t>LAW LIBRARY</t>
  </si>
  <si>
    <t>10-440-413</t>
  </si>
  <si>
    <t>ATT FEE (TAXES)</t>
  </si>
  <si>
    <t>10-440-414</t>
  </si>
  <si>
    <t>TELEPHONE MAINTENANCE CONTRACT</t>
  </si>
  <si>
    <t>10-440-443</t>
  </si>
  <si>
    <t>TRIAL/LITIG. EXPENSE</t>
  </si>
  <si>
    <t>10-440-460</t>
  </si>
  <si>
    <t>REGISTRATION FEE EXPENSE</t>
  </si>
  <si>
    <t>10-440-461</t>
  </si>
  <si>
    <t>RES. OPERATION FUND</t>
  </si>
  <si>
    <t>10-440-462</t>
  </si>
  <si>
    <t>NON-DEPARTMENTAL TRAVEL</t>
  </si>
  <si>
    <t>10-440-463</t>
  </si>
  <si>
    <t>EMPLOYEE INSURANCE PAYOUT</t>
  </si>
  <si>
    <t>10-440-464</t>
  </si>
  <si>
    <t>TAX REFUNDS (CASH)</t>
  </si>
  <si>
    <t>10-440-500</t>
  </si>
  <si>
    <t>GENERAL FUND PAYOUT TO N/</t>
  </si>
  <si>
    <t>10-440-501</t>
  </si>
  <si>
    <t>TX UNDERGROUND FACILITY N</t>
  </si>
  <si>
    <t>10-440-506</t>
  </si>
  <si>
    <t>CITY OF TULIA - AREARS</t>
  </si>
  <si>
    <t>10-440-625</t>
  </si>
  <si>
    <t>COMMUNITY NETWORK/RSVP</t>
  </si>
  <si>
    <t>10-440-601</t>
  </si>
  <si>
    <t>TABLES</t>
  </si>
  <si>
    <t>10-440-626</t>
  </si>
  <si>
    <t>KI CORP PAYMENT OR SOFTWARE CO.</t>
  </si>
  <si>
    <t>10-440-627</t>
  </si>
  <si>
    <t xml:space="preserve">HAVA </t>
  </si>
  <si>
    <t>10-440-650</t>
  </si>
  <si>
    <t>BEREAVEMENT/ENDOWMENT</t>
  </si>
  <si>
    <t>10-440-652</t>
  </si>
  <si>
    <t>BANK CHARGES - HCSB</t>
  </si>
  <si>
    <t>10-440-653</t>
  </si>
  <si>
    <t>CAPITAL EXPENDITURES</t>
  </si>
  <si>
    <t>10-440-654</t>
  </si>
  <si>
    <t>TIME CLOCK UPGRADE</t>
  </si>
  <si>
    <t>10-440-610</t>
  </si>
  <si>
    <t>10-440-656</t>
  </si>
  <si>
    <t>10-440-657</t>
  </si>
  <si>
    <t>10-440-658</t>
  </si>
  <si>
    <t>SAVINGS</t>
  </si>
  <si>
    <t>10-443-310</t>
  </si>
  <si>
    <t>10-443-420</t>
  </si>
  <si>
    <t>TELEPHONE (LOCAL)</t>
  </si>
  <si>
    <t>10-443-444</t>
  </si>
  <si>
    <t>10-443-499</t>
  </si>
  <si>
    <t>10-443-503</t>
  </si>
  <si>
    <t>COPY MACHINE LEASE</t>
  </si>
  <si>
    <t>10-446-464</t>
  </si>
  <si>
    <t>TULIA FIRE DEPT</t>
  </si>
  <si>
    <t>TULIA-GRANT MATCH</t>
  </si>
  <si>
    <t>10-446-463</t>
  </si>
  <si>
    <t>TULIA FIRE TRUCK</t>
  </si>
  <si>
    <t>10-446-465</t>
  </si>
  <si>
    <t>HAPPY FIRE DEPT</t>
  </si>
  <si>
    <t>10-446-466</t>
  </si>
  <si>
    <t>HAPPY AMBULANCE</t>
  </si>
  <si>
    <t>10-446-467</t>
  </si>
  <si>
    <t>KRESS FIRE DEPT</t>
  </si>
  <si>
    <t>KRESS - GRANT MATCH</t>
  </si>
  <si>
    <t>10-446-468</t>
  </si>
  <si>
    <t>KRESS RESCUE/AMBULANCE</t>
  </si>
  <si>
    <t>10-446-469</t>
  </si>
  <si>
    <t>VIGO FIRE DEPT</t>
  </si>
  <si>
    <t>VIGO - Truck Grant</t>
  </si>
  <si>
    <t>10-446-470</t>
  </si>
  <si>
    <t>10-446-471</t>
  </si>
  <si>
    <t>SATELLITE SCHOOL</t>
  </si>
  <si>
    <t>10-446-472</t>
  </si>
  <si>
    <t>AIRPORT</t>
  </si>
  <si>
    <t>10-446-473</t>
  </si>
  <si>
    <t>TULE LAKE GOLF COURSE</t>
  </si>
  <si>
    <t>10-446-474</t>
  </si>
  <si>
    <t>LANDFILL</t>
  </si>
  <si>
    <t>10-446-475</t>
  </si>
  <si>
    <t>INDUSTRIAL BOARD</t>
  </si>
  <si>
    <t>10-446-476</t>
  </si>
  <si>
    <t>TULIA CHILD DEVELOPMENT CENTER</t>
  </si>
  <si>
    <t>10-446-477</t>
  </si>
  <si>
    <t>CENTRAL PLAINS MHMR</t>
  </si>
  <si>
    <t>10-466-478</t>
  </si>
  <si>
    <t>GREENTHUMB PROGRAM</t>
  </si>
  <si>
    <t>10-446-479</t>
  </si>
  <si>
    <t>PANHANDLE EM MED SERVICE</t>
  </si>
  <si>
    <t>10-446-480</t>
  </si>
  <si>
    <t>ALCOHOL ED &amp; TRAINING</t>
  </si>
  <si>
    <t>10-446-481</t>
  </si>
  <si>
    <t>HIGH PLAINS FOOD BANK</t>
  </si>
  <si>
    <t>10-446-482</t>
  </si>
  <si>
    <t>T.E.R.P.</t>
  </si>
  <si>
    <t>10-446-483</t>
  </si>
  <si>
    <t>DHS OIL OVERCHARGE</t>
  </si>
  <si>
    <t>10-446-484</t>
  </si>
  <si>
    <t>AMBULANCE SERVICE</t>
  </si>
  <si>
    <t>10-446-485</t>
  </si>
  <si>
    <t>HISTORICAL COMMISSION</t>
  </si>
  <si>
    <t>10-446-486</t>
  </si>
  <si>
    <t>SENIOR CITIZENS</t>
  </si>
  <si>
    <t>10-446-487</t>
  </si>
  <si>
    <t>CHILD WELFARE BOARD</t>
  </si>
  <si>
    <t>10-446-488</t>
  </si>
  <si>
    <t>MUSEUM</t>
  </si>
  <si>
    <t>10-446-489</t>
  </si>
  <si>
    <t xml:space="preserve">R.S.V.P. </t>
  </si>
  <si>
    <t>10-446-490</t>
  </si>
  <si>
    <t>PANHANDLE COMM SERVICE</t>
  </si>
  <si>
    <t>10-446-492</t>
  </si>
  <si>
    <t>CRISIS CENTER of the PLAINS</t>
  </si>
  <si>
    <t>10-446-493</t>
  </si>
  <si>
    <t>S.A.N.E.</t>
  </si>
  <si>
    <t>10-446-494</t>
  </si>
  <si>
    <t>AVIATION GRANT</t>
  </si>
  <si>
    <t>10-446-495</t>
  </si>
  <si>
    <t>PARENTS PLACE</t>
  </si>
  <si>
    <t>DRISKILL HOUSE</t>
  </si>
  <si>
    <t>10-446-500</t>
  </si>
  <si>
    <t>LEADERSHIP FUND</t>
  </si>
  <si>
    <t>10-446-501</t>
  </si>
  <si>
    <t>PANCOM MAINT.</t>
  </si>
  <si>
    <t>10-446-502</t>
  </si>
  <si>
    <t>COMM. &amp; SCHOOLS JUV GRANT</t>
  </si>
  <si>
    <t>REGION 'O" WATER PLANNING GROUP</t>
  </si>
  <si>
    <t>10-449-625</t>
  </si>
  <si>
    <t>CIVIL</t>
  </si>
  <si>
    <t>10-449-626</t>
  </si>
  <si>
    <t>PROBATE</t>
  </si>
  <si>
    <t>CIVIL/PROBATE TOTAL</t>
  </si>
  <si>
    <t>10-449-627</t>
  </si>
  <si>
    <t>CRT. REPORTERS</t>
  </si>
  <si>
    <t>10-449-628</t>
  </si>
  <si>
    <t>CRT. APT. ATTNY</t>
  </si>
  <si>
    <t>10-449-629</t>
  </si>
  <si>
    <t>ADMIN. EXPENSES</t>
  </si>
  <si>
    <t>10-449-630</t>
  </si>
  <si>
    <t>WITNESS FEES</t>
  </si>
  <si>
    <t>10-449-631</t>
  </si>
  <si>
    <t>MEDICAL EXPENSE</t>
  </si>
  <si>
    <t>10-449-643</t>
  </si>
  <si>
    <t>INTERPRETER FEES</t>
  </si>
  <si>
    <t>MENTAL COURT TOTAL</t>
  </si>
  <si>
    <t>10-449-632</t>
  </si>
  <si>
    <t>10-449-633</t>
  </si>
  <si>
    <t>CRT. APPT. ATTNY</t>
  </si>
  <si>
    <t>10-449-634</t>
  </si>
  <si>
    <t>10-449-635</t>
  </si>
  <si>
    <t>JUVENILE COURT TOTAL</t>
  </si>
  <si>
    <t>10-449-636</t>
  </si>
  <si>
    <t>SPECIAL JUDGE</t>
  </si>
  <si>
    <t>10-449-637</t>
  </si>
  <si>
    <t>10-449-638</t>
  </si>
  <si>
    <t>CRT. APPT. ATTY</t>
  </si>
  <si>
    <t>10-449-639</t>
  </si>
  <si>
    <t>ADMIN. EXPENSE</t>
  </si>
  <si>
    <t>10-449-640</t>
  </si>
  <si>
    <t>10-449-641</t>
  </si>
  <si>
    <t>10-449-642</t>
  </si>
  <si>
    <t>JURY EXPENSES</t>
  </si>
  <si>
    <t>10-449-645</t>
  </si>
  <si>
    <t xml:space="preserve">CAPROCK PUBLIC DEFENDERS </t>
  </si>
  <si>
    <t>CRIMINAL COURT TOTAL</t>
  </si>
  <si>
    <t>10-451-735</t>
  </si>
  <si>
    <t>10-453-101</t>
  </si>
  <si>
    <t>10-453-105</t>
  </si>
  <si>
    <t>HALE COUNTY PAYMENT</t>
  </si>
  <si>
    <t>10-453-110</t>
  </si>
  <si>
    <t>ATTORNEY FEES</t>
  </si>
  <si>
    <t>10-453-112</t>
  </si>
  <si>
    <t>ATTORNEY FEES - NON CRIMINAL</t>
  </si>
  <si>
    <t>10-453-115</t>
  </si>
  <si>
    <t>COURT REPORTER - TRANSCRIPTS</t>
  </si>
  <si>
    <t>10-453-120</t>
  </si>
  <si>
    <t>STAFF MILEAGE / MEALS</t>
  </si>
  <si>
    <t>10-453-125</t>
  </si>
  <si>
    <t>10-453-130</t>
  </si>
  <si>
    <t>10-453-135</t>
  </si>
  <si>
    <t>9TH ADMINISTRATIVE JUDICIAL REGION</t>
  </si>
  <si>
    <t>10-453-141</t>
  </si>
  <si>
    <t>REGIONAL CAPITAL PUBLIC DEFENDER</t>
  </si>
  <si>
    <t>10-453-145</t>
  </si>
  <si>
    <t>PRIVATE INVESTIGATOR</t>
  </si>
  <si>
    <t>10-453-601</t>
  </si>
  <si>
    <t xml:space="preserve">64TH DISTRICT COURT </t>
  </si>
  <si>
    <t>10-454-101</t>
  </si>
  <si>
    <t>242ND DIST CRT SALARY - HUKILL</t>
  </si>
  <si>
    <t>10-454-105</t>
  </si>
  <si>
    <t>10-454-110</t>
  </si>
  <si>
    <t>10-454-112</t>
  </si>
  <si>
    <t>10-454-115</t>
  </si>
  <si>
    <t>10-454-120</t>
  </si>
  <si>
    <t>10-454-125</t>
  </si>
  <si>
    <t>10-454-130</t>
  </si>
  <si>
    <t>10-454-135</t>
  </si>
  <si>
    <t>10-454-140</t>
  </si>
  <si>
    <t>10-454-141</t>
  </si>
  <si>
    <t>10-454-601</t>
  </si>
  <si>
    <t>10-454-142</t>
  </si>
  <si>
    <t>CAPITAL CASE EXPENDITURES</t>
  </si>
  <si>
    <t xml:space="preserve">242ND DISTRICT COURT </t>
  </si>
  <si>
    <t xml:space="preserve">APPROVED  FY 2016        BUDGET   </t>
  </si>
  <si>
    <t>10-455-481</t>
  </si>
  <si>
    <t>ADMINISTRATION EXPENSE</t>
  </si>
  <si>
    <t>10-455-601</t>
  </si>
  <si>
    <t>10-455-605</t>
  </si>
  <si>
    <t xml:space="preserve">CHRISTMAS LUNCHEON </t>
  </si>
  <si>
    <t>10-455-610</t>
  </si>
  <si>
    <t>LAPTOPS</t>
  </si>
  <si>
    <t xml:space="preserve">DETENTION CENTER </t>
  </si>
  <si>
    <t xml:space="preserve">APPROVED      FY 2016        BUDGET   </t>
  </si>
  <si>
    <t>10-460-350</t>
  </si>
  <si>
    <t>10-460-351</t>
  </si>
  <si>
    <t>TOOLS</t>
  </si>
  <si>
    <t>10-460-352</t>
  </si>
  <si>
    <t>TIRES</t>
  </si>
  <si>
    <t>10-460-400</t>
  </si>
  <si>
    <t>MEALS</t>
  </si>
  <si>
    <t>10-460-450</t>
  </si>
  <si>
    <t>REPAIR</t>
  </si>
  <si>
    <t>10-470-101</t>
  </si>
  <si>
    <t>ELECTIONS ADMIN SALARY</t>
  </si>
  <si>
    <t>10-470-102</t>
  </si>
  <si>
    <t>SEASONAL CLERK</t>
  </si>
  <si>
    <t>10-470-108</t>
  </si>
  <si>
    <t>10-470-109</t>
  </si>
  <si>
    <t>10-470-110</t>
  </si>
  <si>
    <t>10-470-200</t>
  </si>
  <si>
    <t>10-470-201</t>
  </si>
  <si>
    <t>10-470-310</t>
  </si>
  <si>
    <t>10-470-311</t>
  </si>
  <si>
    <t>ELECTIONS SUPPLIES</t>
  </si>
  <si>
    <t>10-470-315</t>
  </si>
  <si>
    <t>10-470-410</t>
  </si>
  <si>
    <t>10-470-418</t>
  </si>
  <si>
    <t>10-470-420</t>
  </si>
  <si>
    <t>10-470-425</t>
  </si>
  <si>
    <t>LOCAL TRAVEL</t>
  </si>
  <si>
    <t>10-470-505</t>
  </si>
  <si>
    <t>SOFTWARE MAINT CONTRACT</t>
  </si>
  <si>
    <t>10-470-419</t>
  </si>
  <si>
    <t>APPROVED    FY - 2015   BUDGET</t>
  </si>
  <si>
    <t xml:space="preserve">APPROVED    FY 2016        BUDGET   </t>
  </si>
  <si>
    <t>10-500-102</t>
  </si>
  <si>
    <t>COORDINATOR</t>
  </si>
  <si>
    <t>10-500-103</t>
  </si>
  <si>
    <t>INTERNS</t>
  </si>
  <si>
    <t>10-500-105</t>
  </si>
  <si>
    <t>10-500-109</t>
  </si>
  <si>
    <t>10-500-110</t>
  </si>
  <si>
    <t>10-500-200</t>
  </si>
  <si>
    <t>10-500-201</t>
  </si>
  <si>
    <t>10-500-310</t>
  </si>
  <si>
    <t>10-500-315</t>
  </si>
  <si>
    <t>10-500-325</t>
  </si>
  <si>
    <t>10-500-350</t>
  </si>
  <si>
    <t>OIL &amp; FUEL</t>
  </si>
  <si>
    <t>10-500-418</t>
  </si>
  <si>
    <t>10-500-419</t>
  </si>
  <si>
    <t>10-500-420</t>
  </si>
  <si>
    <t>10-500-425</t>
  </si>
  <si>
    <t>10-500-450</t>
  </si>
  <si>
    <t>VEHICLE REPAIRS</t>
  </si>
  <si>
    <t>10-500-451</t>
  </si>
  <si>
    <t>VEHICLE LIGHTS</t>
  </si>
  <si>
    <t>10-500-499</t>
  </si>
  <si>
    <t>10-500-501</t>
  </si>
  <si>
    <t>10-500-600</t>
  </si>
  <si>
    <t>HAND HELD RADIO AND VEHICLE RADIO</t>
  </si>
  <si>
    <t>10-500-601</t>
  </si>
  <si>
    <t>FURNITURE AND EQUIPMENT</t>
  </si>
  <si>
    <t>10-500-602</t>
  </si>
  <si>
    <t>VOLUNTEER INSURANCE</t>
  </si>
  <si>
    <t>10-500-603</t>
  </si>
  <si>
    <t>WHITE BOARDS</t>
  </si>
  <si>
    <t>10-500-604</t>
  </si>
  <si>
    <t>SECURITY FENCING</t>
  </si>
  <si>
    <t>10-500-605</t>
  </si>
  <si>
    <t>MOBIL EOC RENOVATIONS &amp; EQUIPMENT</t>
  </si>
  <si>
    <t>10-500-606</t>
  </si>
  <si>
    <t xml:space="preserve">BUILDING RENOVATIONS EOC </t>
  </si>
  <si>
    <t>10-500-607</t>
  </si>
  <si>
    <t>EPMG EXPENSES</t>
  </si>
  <si>
    <t>RADIOS</t>
  </si>
  <si>
    <t>TOTAL</t>
  </si>
  <si>
    <t>GRANT EXPENDITURES</t>
  </si>
  <si>
    <t>COOORDINATOR SALARY</t>
  </si>
  <si>
    <t>VEHICLE MAINTENANCE</t>
  </si>
  <si>
    <t>OPERATIONS</t>
  </si>
  <si>
    <t>MATERIAL AND LOGISTICS</t>
  </si>
  <si>
    <t>FACILITIES</t>
  </si>
  <si>
    <t xml:space="preserve">EOC MAINTENANCE AND RENOVATION </t>
  </si>
  <si>
    <t>AREA TRAINING</t>
  </si>
  <si>
    <t>10-600-102</t>
  </si>
  <si>
    <t>SHOP FOREMAN</t>
  </si>
  <si>
    <t>10-600-103</t>
  </si>
  <si>
    <t>PART-TIME  EMPLOYEE</t>
  </si>
  <si>
    <t>10-600-108</t>
  </si>
  <si>
    <t>10-600-109</t>
  </si>
  <si>
    <t>10-600-110</t>
  </si>
  <si>
    <t>10-600-200</t>
  </si>
  <si>
    <t>10-600-201</t>
  </si>
  <si>
    <t>10-600-202</t>
  </si>
  <si>
    <t>10-600-310</t>
  </si>
  <si>
    <t>10-600-350</t>
  </si>
  <si>
    <t>10-600-351</t>
  </si>
  <si>
    <t>10-600-418</t>
  </si>
  <si>
    <t>10-600-420</t>
  </si>
  <si>
    <t>10-600-440</t>
  </si>
  <si>
    <t>10-600-445</t>
  </si>
  <si>
    <t>10-600-450</t>
  </si>
  <si>
    <t>10-600-499</t>
  </si>
  <si>
    <t>10-600-501</t>
  </si>
  <si>
    <t>COMPUTER UPGRADE</t>
  </si>
  <si>
    <t>10-600-601</t>
  </si>
  <si>
    <t>10-600-602</t>
  </si>
  <si>
    <t>15-915-101</t>
  </si>
  <si>
    <t>COMMISSIONERS</t>
  </si>
  <si>
    <t>15-915-102</t>
  </si>
  <si>
    <t>EMPLOYEES SALARY</t>
  </si>
  <si>
    <t>15-915-107</t>
  </si>
  <si>
    <t>15-915-108</t>
  </si>
  <si>
    <t>15-915-109</t>
  </si>
  <si>
    <t>15-915-110</t>
  </si>
  <si>
    <t>15-915-200</t>
  </si>
  <si>
    <t>15-915-201</t>
  </si>
  <si>
    <t>15-915-202</t>
  </si>
  <si>
    <t>15-915-210</t>
  </si>
  <si>
    <t>15-915-350</t>
  </si>
  <si>
    <t>15-915-351</t>
  </si>
  <si>
    <t>15-915-352</t>
  </si>
  <si>
    <t>15-915-410</t>
  </si>
  <si>
    <t>15-915-418</t>
  </si>
  <si>
    <t>15-915-421</t>
  </si>
  <si>
    <t>15-915-450</t>
  </si>
  <si>
    <t>15-915-452</t>
  </si>
  <si>
    <t>SCS ENGINEERING</t>
  </si>
  <si>
    <t>15-915-453</t>
  </si>
  <si>
    <t>CULVERTS</t>
  </si>
  <si>
    <t>15-915-457</t>
  </si>
  <si>
    <t>ROAD EQUIPMENT REPAIR</t>
  </si>
  <si>
    <t>15-915-458</t>
  </si>
  <si>
    <t>ROAD REPAIR</t>
  </si>
  <si>
    <t>15-915-459</t>
  </si>
  <si>
    <t>CHEMICALS</t>
  </si>
  <si>
    <t>15-915-499</t>
  </si>
  <si>
    <t>15-915-550</t>
  </si>
  <si>
    <t>15-915-551</t>
  </si>
  <si>
    <t>15-915-601</t>
  </si>
  <si>
    <t>15-915-610</t>
  </si>
  <si>
    <t>STATE LATERAL RD EXP</t>
  </si>
  <si>
    <t>15-915-615</t>
  </si>
  <si>
    <t>15-915-625</t>
  </si>
  <si>
    <t>TRANSFER TO N/A SAVINGS</t>
  </si>
  <si>
    <t>15-915-440</t>
  </si>
  <si>
    <t>PRECINCT # 2</t>
  </si>
  <si>
    <t>16-916-101</t>
  </si>
  <si>
    <t>COMMISSIONER</t>
  </si>
  <si>
    <t>16-916-102</t>
  </si>
  <si>
    <t>16-916-103</t>
  </si>
  <si>
    <t>16-916-107</t>
  </si>
  <si>
    <t>16-916-108</t>
  </si>
  <si>
    <t>16-916-109</t>
  </si>
  <si>
    <t>16-916-110</t>
  </si>
  <si>
    <t>16-916-200</t>
  </si>
  <si>
    <t>16-916-201</t>
  </si>
  <si>
    <t>16-916-202</t>
  </si>
  <si>
    <t>16-916-210</t>
  </si>
  <si>
    <t>16-916-350</t>
  </si>
  <si>
    <t>16-916-351</t>
  </si>
  <si>
    <t>16-916-352</t>
  </si>
  <si>
    <t>16-916-410</t>
  </si>
  <si>
    <t>16-916-418</t>
  </si>
  <si>
    <t>16-916-421</t>
  </si>
  <si>
    <t>16-916-425</t>
  </si>
  <si>
    <t>TRAVEL</t>
  </si>
  <si>
    <t>16-916-450</t>
  </si>
  <si>
    <t>16-916-452</t>
  </si>
  <si>
    <t>16-916-453</t>
  </si>
  <si>
    <t>16-916-457</t>
  </si>
  <si>
    <t>ROAD EQUIP. REPAIR</t>
  </si>
  <si>
    <t>16-916-458</t>
  </si>
  <si>
    <t>16-916-459</t>
  </si>
  <si>
    <t>16-916-460</t>
  </si>
  <si>
    <t>ROAD SIGNS</t>
  </si>
  <si>
    <t>16-916-499</t>
  </si>
  <si>
    <t>16-916-550</t>
  </si>
  <si>
    <t>CAPITAL EXPENDITURE</t>
  </si>
  <si>
    <t>16-916-551</t>
  </si>
  <si>
    <t>16-916-552</t>
  </si>
  <si>
    <t>WARRANT INTEREST</t>
  </si>
  <si>
    <t>16-916-601</t>
  </si>
  <si>
    <t>16-916-610</t>
  </si>
  <si>
    <t>16-916-611</t>
  </si>
  <si>
    <t>SPRAYER</t>
  </si>
  <si>
    <t>16-916-612</t>
  </si>
  <si>
    <t>LOADER</t>
  </si>
  <si>
    <t>PICKUP</t>
  </si>
  <si>
    <t>16-916-625</t>
  </si>
  <si>
    <t>17-917-101</t>
  </si>
  <si>
    <t>17-917-102</t>
  </si>
  <si>
    <t>17-917-103</t>
  </si>
  <si>
    <t>17-917-107</t>
  </si>
  <si>
    <t>17-917-108</t>
  </si>
  <si>
    <t>17-917-109</t>
  </si>
  <si>
    <t>17-917-110</t>
  </si>
  <si>
    <t>17-917-200</t>
  </si>
  <si>
    <t>17-917-201</t>
  </si>
  <si>
    <t>17-917-202</t>
  </si>
  <si>
    <t>17-917-203</t>
  </si>
  <si>
    <t>17-917-210</t>
  </si>
  <si>
    <t>17-917-350</t>
  </si>
  <si>
    <t>17-917-351</t>
  </si>
  <si>
    <t>17-917-352</t>
  </si>
  <si>
    <t>17-917-410</t>
  </si>
  <si>
    <t>17-917-418</t>
  </si>
  <si>
    <t>17-917-421</t>
  </si>
  <si>
    <t>17-917-450</t>
  </si>
  <si>
    <t>17-917-452</t>
  </si>
  <si>
    <t>17-917-453</t>
  </si>
  <si>
    <t>17-917-457</t>
  </si>
  <si>
    <t>17-917-458</t>
  </si>
  <si>
    <t>ROAD REPAIRS</t>
  </si>
  <si>
    <t>17-917-459</t>
  </si>
  <si>
    <t>17-917-460</t>
  </si>
  <si>
    <t>17-917-499</t>
  </si>
  <si>
    <t>17-917-550</t>
  </si>
  <si>
    <t>17-917-551</t>
  </si>
  <si>
    <t>17-917-552</t>
  </si>
  <si>
    <t>17-917-601</t>
  </si>
  <si>
    <t>17-917-610</t>
  </si>
  <si>
    <t>17-917-611</t>
  </si>
  <si>
    <t>17-917-612</t>
  </si>
  <si>
    <t>17-917-625</t>
  </si>
  <si>
    <t>18-918-101</t>
  </si>
  <si>
    <t>18-918-102</t>
  </si>
  <si>
    <t>EMPLOYEE SALARY</t>
  </si>
  <si>
    <t>18-918-103</t>
  </si>
  <si>
    <t>18-918-107</t>
  </si>
  <si>
    <t>18-918-108</t>
  </si>
  <si>
    <t>18-918-109</t>
  </si>
  <si>
    <t>18-918-110</t>
  </si>
  <si>
    <t>18-918-200</t>
  </si>
  <si>
    <t>18-918-201</t>
  </si>
  <si>
    <t>18-918-202</t>
  </si>
  <si>
    <t>18-918-210</t>
  </si>
  <si>
    <t>18-918-350</t>
  </si>
  <si>
    <t>18-918-351</t>
  </si>
  <si>
    <t>18-918-352</t>
  </si>
  <si>
    <t>18-918-410</t>
  </si>
  <si>
    <t>18-918-418</t>
  </si>
  <si>
    <t>18-918-421</t>
  </si>
  <si>
    <t>18-918-450</t>
  </si>
  <si>
    <t>18-918-452</t>
  </si>
  <si>
    <t>18-918-453</t>
  </si>
  <si>
    <t>18-918-454</t>
  </si>
  <si>
    <t>BARN LEASE</t>
  </si>
  <si>
    <t>18-918-457</t>
  </si>
  <si>
    <t>18-918-458</t>
  </si>
  <si>
    <t>18-918-459</t>
  </si>
  <si>
    <t>18-918-499</t>
  </si>
  <si>
    <t>18-918-550</t>
  </si>
  <si>
    <t>18-918-551</t>
  </si>
  <si>
    <t>18-918-552</t>
  </si>
  <si>
    <t>WARRANT PAYMENT</t>
  </si>
  <si>
    <t>18-918-553</t>
  </si>
  <si>
    <t>18-918-601</t>
  </si>
  <si>
    <t>18-918-610</t>
  </si>
  <si>
    <t>18-918-611</t>
  </si>
  <si>
    <t>18-918-625</t>
  </si>
  <si>
    <t>18-918-700</t>
  </si>
  <si>
    <t>PAYOUT TO N/A SAVINGS</t>
  </si>
  <si>
    <t>18-918-701</t>
  </si>
  <si>
    <t>18-918-702</t>
  </si>
  <si>
    <t>c</t>
  </si>
  <si>
    <t>FY 2017</t>
  </si>
  <si>
    <t>TAX RATE</t>
  </si>
  <si>
    <t>TAX BASE</t>
  </si>
  <si>
    <t>TOTAL TAX LEVY</t>
  </si>
  <si>
    <t>FY 2016</t>
  </si>
  <si>
    <t>ARCHITECT FEES (GRANT)</t>
  </si>
  <si>
    <t>EMPLOYEE</t>
  </si>
  <si>
    <t>10-403-326</t>
  </si>
  <si>
    <t>DONATION EXPENSE</t>
  </si>
  <si>
    <t xml:space="preserve">  </t>
  </si>
  <si>
    <t>APPROVED          FY-2017           BUDGET</t>
  </si>
  <si>
    <t xml:space="preserve">APPROVED   FY 2017        BUDGET   </t>
  </si>
  <si>
    <t>ACTIVITY 6 MONTHS FY2017</t>
  </si>
  <si>
    <t>DEPT REQUEST FY2018</t>
  </si>
  <si>
    <t>DEPT REQEUST FY2018</t>
  </si>
  <si>
    <t>DEPT. REQUEST FY2018</t>
  </si>
  <si>
    <t>10-409-103</t>
  </si>
  <si>
    <t xml:space="preserve">  10-420-107</t>
  </si>
  <si>
    <t>10-420-702</t>
  </si>
  <si>
    <t>10-420-716</t>
  </si>
  <si>
    <t>10-420-717</t>
  </si>
  <si>
    <t>10-420-718</t>
  </si>
  <si>
    <t>10-423-116</t>
  </si>
  <si>
    <t xml:space="preserve"> 10-431-602</t>
  </si>
  <si>
    <t xml:space="preserve"> 10-431-110</t>
  </si>
  <si>
    <t>10-440-403</t>
  </si>
  <si>
    <t>ROBBERY/BURGLARY INSURNCE</t>
  </si>
  <si>
    <t>LIABILITY POOL/GENERAL</t>
  </si>
  <si>
    <t>10-440-405</t>
  </si>
  <si>
    <t>10-440-406</t>
  </si>
  <si>
    <t>10-440-407</t>
  </si>
  <si>
    <t>LIAB. POOL/PUBLIC OFFICIALS</t>
  </si>
  <si>
    <t>LIAB. POOL/LAW ENFORCEMENT</t>
  </si>
  <si>
    <t>FIRE COMP. POOL/BUILDING</t>
  </si>
  <si>
    <t>10-446-503</t>
  </si>
  <si>
    <t>10-453-140</t>
  </si>
  <si>
    <t>15-915-103</t>
  </si>
  <si>
    <t>15-915-552</t>
  </si>
  <si>
    <t>COMP.SUPPLIES/UPDATE SOFTWARE</t>
  </si>
  <si>
    <t>TRACTOR LEASE</t>
  </si>
  <si>
    <t>GRADER LEASE</t>
  </si>
  <si>
    <t>CAPITAL ROAD EQUIPMENT</t>
  </si>
  <si>
    <t>EQUIPMENT  TRACTOR LEASE</t>
  </si>
  <si>
    <t>INTOXIMETERS P.B.T. (2)</t>
  </si>
  <si>
    <t>PORTABLE RADIO  (2)</t>
  </si>
  <si>
    <t>SECURITY SYSTEM</t>
  </si>
  <si>
    <t>CHIEF DEPUTY SALARY</t>
  </si>
  <si>
    <t>TXDOT GRANT - Bridge Funding Pct  3</t>
  </si>
  <si>
    <t>ERSTIMATED CARRYOVER</t>
  </si>
  <si>
    <t>Debt Service</t>
  </si>
  <si>
    <t>GRADER LEASE PAYMENT</t>
  </si>
  <si>
    <t>CARPET CLEANING</t>
  </si>
  <si>
    <t>RENTS</t>
  </si>
  <si>
    <t>15-010-021</t>
  </si>
  <si>
    <t>18-010-210</t>
  </si>
  <si>
    <t>HAPPY FIRE TRUCK GRANT</t>
  </si>
  <si>
    <t>14-210-110</t>
  </si>
  <si>
    <t>DEBT SERVICE REVENUE</t>
  </si>
  <si>
    <t>10-406-506</t>
  </si>
  <si>
    <t>COMPUTER SUPPORT</t>
  </si>
  <si>
    <t>10-420-720</t>
  </si>
  <si>
    <t>TELEHEALTH CONTRACT</t>
  </si>
  <si>
    <t>10-420-713</t>
  </si>
  <si>
    <t>10-420-111</t>
  </si>
  <si>
    <t>SAECO GRANT</t>
  </si>
  <si>
    <t>AUDIO/VIDEO EQUIPMENT</t>
  </si>
  <si>
    <t>10-440-659</t>
  </si>
  <si>
    <t>10-440-615</t>
  </si>
  <si>
    <t>INDIGENT GRANT EXPENSES</t>
  </si>
  <si>
    <t>10-446-504</t>
  </si>
  <si>
    <t>64TH DIST CRT SALARY - ZIRPOLI</t>
  </si>
  <si>
    <t>SKID STEER LEASE 3 YEAR</t>
  </si>
  <si>
    <t>ANNUAL ADOBE UPDATES</t>
  </si>
  <si>
    <t>3 EMV DEVICES(UPDATING TO CHIP READER)</t>
  </si>
  <si>
    <r>
      <t xml:space="preserve">RIFLES  </t>
    </r>
    <r>
      <rPr>
        <b/>
        <sz val="10"/>
        <rFont val="Arial"/>
        <family val="2"/>
      </rPr>
      <t>X 2</t>
    </r>
  </si>
  <si>
    <t>Tactical Entry Kit</t>
  </si>
  <si>
    <t xml:space="preserve">Weapon Lights X 5 </t>
  </si>
  <si>
    <t>Light Bearing Holster X 5</t>
  </si>
  <si>
    <t>Two Rifle Suppressor</t>
  </si>
  <si>
    <t>GENERATOR</t>
  </si>
  <si>
    <t>FURNITURE (4) 04162019</t>
  </si>
  <si>
    <t>SHOW BARN REPAIRS</t>
  </si>
  <si>
    <t>SPECIAL LAW ENFORCEMENT OFFICER</t>
  </si>
  <si>
    <t>10-419-101</t>
  </si>
  <si>
    <t>10-419-105</t>
  </si>
  <si>
    <t>10-419-109</t>
  </si>
  <si>
    <t>10-419-110</t>
  </si>
  <si>
    <t>10-419-200</t>
  </si>
  <si>
    <t>10-419-201</t>
  </si>
  <si>
    <t>10-419-202</t>
  </si>
  <si>
    <t>10-419-210</t>
  </si>
  <si>
    <t>10-419-450</t>
  </si>
  <si>
    <t>10-419-501</t>
  </si>
  <si>
    <t>10-419-700</t>
  </si>
  <si>
    <t>10-419-701</t>
  </si>
  <si>
    <t>10-419-702</t>
  </si>
  <si>
    <t>10-419-713</t>
  </si>
  <si>
    <t>10-419-715</t>
  </si>
  <si>
    <t>10-419-716</t>
  </si>
  <si>
    <t>10-419-750</t>
  </si>
  <si>
    <t>SALARY</t>
  </si>
  <si>
    <t>WORKMANS COMP</t>
  </si>
  <si>
    <t>VEHICLE OPERATING COST</t>
  </si>
  <si>
    <t>VEHICLE</t>
  </si>
  <si>
    <t>VEHICLE SUPPLIES</t>
  </si>
  <si>
    <t>VEHICLE INSURANCE</t>
  </si>
  <si>
    <t>FIREARMS</t>
  </si>
  <si>
    <t>BULLET PROOF VEST</t>
  </si>
  <si>
    <t>GRANT MATCH/UNFUNDED</t>
  </si>
  <si>
    <t>16-010-026</t>
  </si>
  <si>
    <t>17-917-613</t>
  </si>
  <si>
    <t>TRACTOR</t>
  </si>
  <si>
    <t>17-917--621</t>
  </si>
  <si>
    <t>17-917-626</t>
  </si>
  <si>
    <t>10-440-661</t>
  </si>
  <si>
    <t>4-H ACTIVITIES</t>
  </si>
  <si>
    <t>LICENSE FOR NEW PACCS COMP.</t>
  </si>
  <si>
    <t>3 COMPUTER &amp; PRINTERS</t>
  </si>
  <si>
    <t>TAX COLLECTIONS DEPARTMENT</t>
  </si>
  <si>
    <t>10-415-102</t>
  </si>
  <si>
    <t>10-415-109</t>
  </si>
  <si>
    <t>10-415-110</t>
  </si>
  <si>
    <t>10-415-200</t>
  </si>
  <si>
    <t>10-415-201</t>
  </si>
  <si>
    <t>10-415-202</t>
  </si>
  <si>
    <t>10-415-310</t>
  </si>
  <si>
    <t>10-415-315</t>
  </si>
  <si>
    <t>10-415-410</t>
  </si>
  <si>
    <t>10-415-419</t>
  </si>
  <si>
    <t>COLLECTIONS DEPUTY</t>
  </si>
  <si>
    <t>MEDICAL INSURANCE</t>
  </si>
  <si>
    <t>MEMBERSHIP DUES</t>
  </si>
  <si>
    <t>SOFTWARE CONVERSION</t>
  </si>
  <si>
    <t>10-419-421</t>
  </si>
  <si>
    <t>CELL PHONE ALLOWANCE</t>
  </si>
  <si>
    <t>GENERATOR REPLACEMENT</t>
  </si>
  <si>
    <t>TRANSITIONAL POSITION WAGES</t>
  </si>
  <si>
    <t>STOP STICKS (3)</t>
  </si>
  <si>
    <t>STATEMENT OF ACTUAL AND ESTIMATED REVENUE</t>
  </si>
  <si>
    <t>10-409-205</t>
  </si>
  <si>
    <t>FRINGE BENEFITS</t>
  </si>
  <si>
    <t>10-431-109</t>
  </si>
  <si>
    <t>10-440-662</t>
  </si>
  <si>
    <t>2020 CARE GRANT (COVID 19)</t>
  </si>
  <si>
    <t>10-470-506</t>
  </si>
  <si>
    <t>10-470-507</t>
  </si>
  <si>
    <t>17-917-440</t>
  </si>
  <si>
    <t>UTLITIES</t>
  </si>
  <si>
    <t>18-918-440</t>
  </si>
  <si>
    <t>10-420-602</t>
  </si>
  <si>
    <t>COP BOX</t>
  </si>
  <si>
    <t>10-423-114</t>
  </si>
  <si>
    <t>ENTRY LEVEL JAILER</t>
  </si>
  <si>
    <t>10-423-502</t>
  </si>
  <si>
    <t>PEPPERBALL GUN</t>
  </si>
  <si>
    <t>ACTIVITY 6 MONTHS FY2022</t>
  </si>
  <si>
    <t xml:space="preserve">    APPROVED    FY-2022 BUDGET</t>
  </si>
  <si>
    <t xml:space="preserve">      APPROVED       FY-2022 BUDGET</t>
  </si>
  <si>
    <t xml:space="preserve">   APPROVED     FY-2022 BUDGET</t>
  </si>
  <si>
    <t xml:space="preserve">   APPROVED              FY-2022 BUDGET</t>
  </si>
  <si>
    <t>ACTIVITY 6 MONTHS               FY-2022</t>
  </si>
  <si>
    <t>DEPT. REQUEST                   FY-2023</t>
  </si>
  <si>
    <t xml:space="preserve">    APPROVED               FY-2022 BUDGET</t>
  </si>
  <si>
    <t>ACTIVITY 6 MONTHS FY-2022</t>
  </si>
  <si>
    <t xml:space="preserve">    DEPT. REQUEST    FY- 2023</t>
  </si>
  <si>
    <t>APPROVED FY-2022 BUDGET</t>
  </si>
  <si>
    <t>DEPT. REQUEST FY2023</t>
  </si>
  <si>
    <t>DEPT REQUEST FY2023</t>
  </si>
  <si>
    <t>APPROVED      FY-2022      BUDGET</t>
  </si>
  <si>
    <t xml:space="preserve">   APPROVED FY-2022 BUDGET</t>
  </si>
  <si>
    <t xml:space="preserve">   APPROVED  FY-2022 BUDGET</t>
  </si>
  <si>
    <t xml:space="preserve">   APPROVED   FY-2022 BUDGET</t>
  </si>
  <si>
    <t xml:space="preserve">   APPROVED    FY-2022 BUDGET</t>
  </si>
  <si>
    <t xml:space="preserve">    APPROVED     FY-2022 BUDGET</t>
  </si>
  <si>
    <t>DEPT REQUEST FY-2023</t>
  </si>
  <si>
    <t>10-403-320</t>
  </si>
  <si>
    <t>CERTIFIED MAIL CITATIONS</t>
  </si>
  <si>
    <t>10-411-103</t>
  </si>
  <si>
    <t>DEPT. REQUEST       FY 2023</t>
  </si>
  <si>
    <t>ON LINE CREDIT CARD PAYMENTS</t>
  </si>
  <si>
    <t>10-420-112</t>
  </si>
  <si>
    <t>DEPUTY SIGN ON BONUS</t>
  </si>
  <si>
    <t>10-423-720</t>
  </si>
  <si>
    <t>10-426-625</t>
  </si>
  <si>
    <t>10-426-630</t>
  </si>
  <si>
    <t>STORAGE BUILDING (SHERIFF)</t>
  </si>
  <si>
    <t>10-426-635</t>
  </si>
  <si>
    <t>PARKING LOTS</t>
  </si>
  <si>
    <t>10-437-320</t>
  </si>
  <si>
    <t>100 YR ANNIVERSARY SUPPLIES</t>
  </si>
  <si>
    <t>10-437-512</t>
  </si>
  <si>
    <t>PHONE SYSTEM</t>
  </si>
  <si>
    <t>CIRA SOFTWARE DEVELOPMENT</t>
  </si>
  <si>
    <t>15-915-554</t>
  </si>
  <si>
    <t>TRUCK &amp; TRAILER LEASE</t>
  </si>
  <si>
    <t>SPRAYERS</t>
  </si>
  <si>
    <t>TRACTOR SHREDDER</t>
  </si>
  <si>
    <t>COVID 19 ELECTIONS - DELETE LINE</t>
  </si>
  <si>
    <t>CENTER FOR TECHNOLOGY &amp; CIVIC LIFE - DELETE</t>
  </si>
  <si>
    <t>10-403-501</t>
  </si>
  <si>
    <t>OFFICE EQUIPMENT - LEASE RTS WORK STATION</t>
  </si>
  <si>
    <t>HGO/BIS INTERNET PROP SEARCH HOST &amp; ADMIN</t>
  </si>
  <si>
    <t xml:space="preserve">PICKUP </t>
  </si>
  <si>
    <t>PROPOSED  BUDGET FY2023</t>
  </si>
  <si>
    <t>ADOPTED BUDGET                 FY 2021</t>
  </si>
  <si>
    <t>ASST COUNTY ATTORNEY</t>
  </si>
  <si>
    <t>DEPT.                REQUEST                       FY2023</t>
  </si>
  <si>
    <t>ACTIVITY              6 MONTHS FY2022</t>
  </si>
  <si>
    <t>DEPT.            REQUEST                                                                     FY 2023</t>
  </si>
  <si>
    <t>DEPT.         REQUEST FY  2023</t>
  </si>
  <si>
    <t>DEPT.                   REQUEST                    FY 2023</t>
  </si>
  <si>
    <t>DEPT.                      REQUEST                     FY 2023</t>
  </si>
  <si>
    <t xml:space="preserve">   APPROVED             BUDGET            FY-2022 </t>
  </si>
  <si>
    <t>DEPT.           REQUEST           FY-2023</t>
  </si>
  <si>
    <t>DEPT.      REQUEST            FY 2023</t>
  </si>
  <si>
    <t>HIGHWAY SAFETY GRANT</t>
  </si>
  <si>
    <t>TAX COLLECTIONS</t>
  </si>
  <si>
    <t xml:space="preserve">TOTAL </t>
  </si>
  <si>
    <t>ESTIMATED CARRYOVER</t>
  </si>
  <si>
    <t>COUNTY GENERAL TAX BASE FY-2023</t>
  </si>
  <si>
    <t>COUNTY LAT. RD. TAX BASE FY-2023</t>
  </si>
  <si>
    <t>ARPA FUNDS</t>
  </si>
  <si>
    <t>10-417</t>
  </si>
  <si>
    <t>BALIFF</t>
  </si>
  <si>
    <t>10-417-101</t>
  </si>
  <si>
    <t>10-417-200</t>
  </si>
  <si>
    <t>10-417-201</t>
  </si>
  <si>
    <t>Cat Walk Fuel-Fuel Pumps</t>
  </si>
  <si>
    <t>APPROVED  BUDGET FY2023</t>
  </si>
  <si>
    <t>6 MONTH ACTIVITY</t>
  </si>
  <si>
    <t>BUDGET 2023</t>
  </si>
  <si>
    <t>10-400-208</t>
  </si>
  <si>
    <t>ARPA SUPPLEMENTAL</t>
  </si>
  <si>
    <t>10-403-208</t>
  </si>
  <si>
    <t>10-406-208</t>
  </si>
  <si>
    <t>10-406-510</t>
  </si>
  <si>
    <t>COMPUTER SUPPLIES</t>
  </si>
  <si>
    <t>10-409-208</t>
  </si>
  <si>
    <t xml:space="preserve">                BUDGET              2023</t>
  </si>
  <si>
    <t>10-411-208</t>
  </si>
  <si>
    <t>10-414-106</t>
  </si>
  <si>
    <t>PART TIME CLERK</t>
  </si>
  <si>
    <t>10-414-208</t>
  </si>
  <si>
    <t xml:space="preserve"> BUDGET 2023</t>
  </si>
  <si>
    <t>10-415-208</t>
  </si>
  <si>
    <t>10-420-113</t>
  </si>
  <si>
    <t>10-420-208</t>
  </si>
  <si>
    <t>10-423-208</t>
  </si>
  <si>
    <t xml:space="preserve">  BUDGET FY2023</t>
  </si>
  <si>
    <t>10-426-208</t>
  </si>
  <si>
    <t>10-431-208</t>
  </si>
  <si>
    <t xml:space="preserve"> BUDGET FY2023</t>
  </si>
  <si>
    <t>10-434-208</t>
  </si>
  <si>
    <t>10-437-208</t>
  </si>
  <si>
    <t>10-440-499</t>
  </si>
  <si>
    <t>BUDGET                   FY 2023</t>
  </si>
  <si>
    <t xml:space="preserve">  BUDGET     FY 2023</t>
  </si>
  <si>
    <t xml:space="preserve">   FY-2023 BUDGET</t>
  </si>
  <si>
    <t>10-470-208</t>
  </si>
  <si>
    <t>10-500-208</t>
  </si>
  <si>
    <t xml:space="preserve">  BUDGET        FY 2023</t>
  </si>
  <si>
    <t xml:space="preserve">  BUDGET        FY 2024</t>
  </si>
  <si>
    <t xml:space="preserve">  6 MONTH ACTIVITY</t>
  </si>
  <si>
    <t>15-915-208</t>
  </si>
  <si>
    <t>15-915-553</t>
  </si>
  <si>
    <t>BUDGET                         FY 2023</t>
  </si>
  <si>
    <t>16-916-208</t>
  </si>
  <si>
    <t>PROPOSED  BUDGET          FY 2024</t>
  </si>
  <si>
    <t xml:space="preserve">  BUDGET          FY 2023</t>
  </si>
  <si>
    <t>17-917-208</t>
  </si>
  <si>
    <t xml:space="preserve">  BUDGET              FY 2023</t>
  </si>
  <si>
    <t>18-918-208</t>
  </si>
  <si>
    <t xml:space="preserve"> BUDGET 2025</t>
  </si>
  <si>
    <t>6 MONTH</t>
  </si>
  <si>
    <t>BUDGET                 FY 2023</t>
  </si>
  <si>
    <t>STORAGE CONTAINER</t>
  </si>
  <si>
    <t>PICKUP - 2023 x 4</t>
  </si>
  <si>
    <t>2022 PICKUP LEASE x 4</t>
  </si>
  <si>
    <t>JOSEPH'S STOREHOUSE FOOD BANK</t>
  </si>
  <si>
    <t>ARCHITECT &amp; ENGINEERING FEES</t>
  </si>
  <si>
    <t>COMPUTER  WEBSITE</t>
  </si>
  <si>
    <t>FURNITURE-FILE CABINETS</t>
  </si>
  <si>
    <t>TNT 2023</t>
  </si>
  <si>
    <t xml:space="preserve">TNT </t>
  </si>
  <si>
    <t>FY-2024 BUDGET</t>
  </si>
  <si>
    <t>LEPC &amp; VOLUNTEER  MEALS</t>
  </si>
  <si>
    <t xml:space="preserve">      FY- 2023       BUDGET</t>
  </si>
  <si>
    <t>(2) DEPUTY SALARY from Grant</t>
  </si>
  <si>
    <t>ARPA FUNDS ADDITIONAL FUNDING</t>
  </si>
  <si>
    <t>10-415</t>
  </si>
  <si>
    <t>SPECIAL LAT. RD. TAX ( $0.11)</t>
  </si>
  <si>
    <t>AARP FUNDIG ROADS</t>
  </si>
  <si>
    <t>SUB TOTAL</t>
  </si>
  <si>
    <t>COUNTY ROAD &amp; BRIDGE ($.04)</t>
  </si>
  <si>
    <t>COUNTY ROAD &amp; BRIDGE($.04)</t>
  </si>
  <si>
    <t>APPROVED BUDGET 2024</t>
  </si>
  <si>
    <t>APPROVED  BUDGET              FY 2024</t>
  </si>
  <si>
    <t>10-420-114</t>
  </si>
  <si>
    <t>PARTTIME CLERICAL</t>
  </si>
  <si>
    <t>PROPOSED BUDGET 2025</t>
  </si>
  <si>
    <t>APPROVED BUDGET                   FY 2024</t>
  </si>
  <si>
    <t>PROPSED BUDGET 2024</t>
  </si>
  <si>
    <t>TBD</t>
  </si>
  <si>
    <t>**Possible merge with Precinct 1 on the barn**</t>
  </si>
  <si>
    <t>2ND PART-TIME DEPUTY</t>
  </si>
  <si>
    <t>10-403-</t>
  </si>
  <si>
    <t>ANNUAL SUBSCRIPTION COST</t>
  </si>
  <si>
    <t>10-403-103</t>
  </si>
  <si>
    <t>10-403-104</t>
  </si>
  <si>
    <t>10-403-106</t>
  </si>
  <si>
    <t>10-414-428</t>
  </si>
  <si>
    <t>PARA-LEGAL</t>
  </si>
  <si>
    <t>SB 22</t>
  </si>
  <si>
    <t>JD Wing Mower</t>
  </si>
  <si>
    <t>SB22</t>
  </si>
  <si>
    <t xml:space="preserve">ASSISANT COUNTY ATTORNEY </t>
  </si>
  <si>
    <t>ASSISTANT COUNTY ATTORNEY (NOT FUNDED)</t>
  </si>
  <si>
    <t>4 NEW DEPUTY POSITION</t>
  </si>
  <si>
    <t xml:space="preserve">AXON FLEET </t>
  </si>
  <si>
    <t>KENWOOD MOBILE RADIO</t>
  </si>
  <si>
    <t>NEW VEHICLE (4)</t>
  </si>
  <si>
    <t>PATROL RIFLES &amp; OPTICS (2)/WEAPON LIGHTS</t>
  </si>
  <si>
    <t>TACTICAL SUPPLIES (SUPPRESSORS)</t>
  </si>
  <si>
    <t>NEW JAILER</t>
  </si>
  <si>
    <t>10-423-555</t>
  </si>
  <si>
    <t>LIFE CHECK</t>
  </si>
  <si>
    <t>RFID PRINTER</t>
  </si>
  <si>
    <t>FCS VEHICLE (EXPLORER)</t>
  </si>
  <si>
    <t>.</t>
  </si>
  <si>
    <t>CAR EQUIP / CAR LEASE</t>
  </si>
  <si>
    <t>AG/VEHICLE REPLACEMENT(Lease)</t>
  </si>
  <si>
    <t>FY 2025 BUDGET</t>
  </si>
  <si>
    <t>FY-2024</t>
  </si>
  <si>
    <t>FY-2025 BUDGET</t>
  </si>
  <si>
    <t>COUNTY GENERAL TAX BASE FY-2024</t>
  </si>
  <si>
    <t>COUNTY LAT. RD. TAX BASE FY-2024</t>
  </si>
  <si>
    <t>INTER PRECINT (TRANSFER)</t>
  </si>
  <si>
    <t>INTER PRECINCT (TRANSFER)</t>
  </si>
  <si>
    <t>DRUG COURT</t>
  </si>
  <si>
    <t>HIGH PLAINS REGIONAL PUBLIC DEFENDERS</t>
  </si>
  <si>
    <t>Tax Rate   0.032</t>
  </si>
  <si>
    <t>SPECIAL LAT. RD. TAX ( $0.010)</t>
  </si>
  <si>
    <t>DIFFERENCE (DEBT SERVICE)</t>
  </si>
  <si>
    <t>LIFE CHECK/RFID PRINTER</t>
  </si>
  <si>
    <t>PICKUP (2) Leases</t>
  </si>
  <si>
    <t>BUDGET</t>
  </si>
  <si>
    <t xml:space="preserve">ADOPTED FY 2025  </t>
  </si>
  <si>
    <t>ADOPTED FY 2025 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</si>
</sst>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.0000_);_(&quot;$&quot;* \(#,##0.0000\);_(&quot;$&quot;* &quot;-&quot;??_);_(@_)"/>
    <numFmt numFmtId="166" formatCode="&quot;$&quot;#,##0.00"/>
    <numFmt numFmtId="167" formatCode="_([$$-409]* #,##0.00_);_([$$-409]* \(#,##0.00\);_([$$-409]* &quot;-&quot;??_);_(@_)"/>
    <numFmt numFmtId="168" formatCode="_(&quot;$&quot;* #,##0.000_);_(&quot;$&quot;* \(#,##0.000\);_(&quot;$&quot;* &quot;-&quot;???_);_(@_)"/>
    <numFmt numFmtId="169" formatCode="0.00;[Red]0.00"/>
    <numFmt numFmtId="170" formatCode="&quot;$&quot;#,##0.00;[Red]&quot;$&quot;#,##0.00"/>
  </numFmts>
  <fonts count="4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  <font>
      <u/>
      <sz val="9"/>
      <name val="Arial"/>
      <family val="2"/>
    </font>
    <font>
      <b/>
      <sz val="1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  <scheme val="minor"/>
    </font>
    <font>
      <u/>
      <sz val="11"/>
      <name val="Arial"/>
      <family val="2"/>
      <scheme val="minor"/>
    </font>
    <font>
      <sz val="9"/>
      <color indexed="81"/>
      <name val="Tahoma"/>
      <family val="2"/>
    </font>
    <font>
      <sz val="8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scheme val="major"/>
    </font>
    <font>
      <b/>
      <sz val="11"/>
      <color rgb="FFFF0000"/>
      <name val="Arial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  <scheme val="major"/>
    </font>
    <font>
      <b/>
      <sz val="10"/>
      <color rgb="FFFF0000"/>
      <name val="Arial"/>
      <family val="2"/>
    </font>
    <font>
      <b/>
      <sz val="10"/>
      <color theme="3"/>
      <name val="Arial"/>
      <family val="2"/>
      <scheme val="minor"/>
    </font>
    <font>
      <b/>
      <sz val="16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u/>
      <sz val="16"/>
      <name val="Arial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" fillId="0" borderId="0" applyProtection="0"/>
    <xf numFmtId="44" fontId="6" fillId="0" borderId="0"/>
    <xf numFmtId="42" fontId="6" fillId="0" borderId="0" applyFill="0" applyBorder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42" fontId="6" fillId="0" borderId="0" applyFill="0" applyBorder="0" applyProtection="0"/>
    <xf numFmtId="42" fontId="1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</cellStyleXfs>
  <cellXfs count="683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44" fontId="7" fillId="0" borderId="1" xfId="1" applyFont="1" applyBorder="1" applyAlignment="1"/>
    <xf numFmtId="3" fontId="3" fillId="0" borderId="1" xfId="3" applyBorder="1"/>
    <xf numFmtId="44" fontId="2" fillId="0" borderId="1" xfId="0" applyNumberFormat="1" applyFont="1" applyBorder="1"/>
    <xf numFmtId="3" fontId="3" fillId="0" borderId="1" xfId="3" applyBorder="1" applyAlignment="1">
      <alignment horizontal="left"/>
    </xf>
    <xf numFmtId="44" fontId="3" fillId="0" borderId="1" xfId="1" applyFont="1" applyBorder="1"/>
    <xf numFmtId="44" fontId="3" fillId="0" borderId="1" xfId="4" applyFont="1" applyBorder="1"/>
    <xf numFmtId="3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/>
    <xf numFmtId="44" fontId="4" fillId="0" borderId="1" xfId="1" applyFont="1" applyBorder="1"/>
    <xf numFmtId="3" fontId="4" fillId="0" borderId="1" xfId="0" applyNumberFormat="1" applyFont="1" applyBorder="1" applyAlignment="1">
      <alignment horizontal="left" vertical="top"/>
    </xf>
    <xf numFmtId="3" fontId="5" fillId="0" borderId="1" xfId="0" applyNumberFormat="1" applyFont="1" applyBorder="1"/>
    <xf numFmtId="3" fontId="4" fillId="0" borderId="0" xfId="0" applyNumberFormat="1" applyFont="1"/>
    <xf numFmtId="44" fontId="8" fillId="0" borderId="1" xfId="1" applyFont="1" applyBorder="1" applyAlignment="1">
      <alignment wrapText="1"/>
    </xf>
    <xf numFmtId="44" fontId="0" fillId="0" borderId="1" xfId="1" applyFont="1" applyBorder="1" applyAlignment="1">
      <alignment horizontal="center" wrapText="1"/>
    </xf>
    <xf numFmtId="44" fontId="10" fillId="0" borderId="1" xfId="1" applyFont="1" applyBorder="1" applyAlignment="1">
      <alignment horizontal="center" wrapText="1"/>
    </xf>
    <xf numFmtId="44" fontId="8" fillId="0" borderId="1" xfId="1" applyFont="1" applyBorder="1" applyAlignment="1"/>
    <xf numFmtId="44" fontId="1" fillId="0" borderId="1" xfId="1" applyFont="1" applyBorder="1"/>
    <xf numFmtId="44" fontId="8" fillId="0" borderId="1" xfId="1" applyFont="1" applyBorder="1"/>
    <xf numFmtId="44" fontId="8" fillId="0" borderId="1" xfId="1" applyFont="1" applyFill="1" applyBorder="1"/>
    <xf numFmtId="44" fontId="1" fillId="0" borderId="1" xfId="1" applyFont="1" applyFill="1" applyBorder="1"/>
    <xf numFmtId="44" fontId="12" fillId="0" borderId="1" xfId="1" applyFont="1" applyBorder="1" applyAlignment="1"/>
    <xf numFmtId="44" fontId="9" fillId="0" borderId="0" xfId="1" applyFont="1" applyBorder="1"/>
    <xf numFmtId="0" fontId="1" fillId="0" borderId="0" xfId="0" applyFont="1"/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44" fontId="13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/>
    <xf numFmtId="44" fontId="3" fillId="0" borderId="1" xfId="1" applyFont="1" applyBorder="1" applyAlignment="1"/>
    <xf numFmtId="44" fontId="13" fillId="0" borderId="1" xfId="1" applyFont="1" applyBorder="1"/>
    <xf numFmtId="0" fontId="13" fillId="0" borderId="1" xfId="0" applyFont="1" applyBorder="1"/>
    <xf numFmtId="0" fontId="10" fillId="0" borderId="0" xfId="0" applyFont="1"/>
    <xf numFmtId="44" fontId="13" fillId="0" borderId="1" xfId="1" applyFont="1" applyFill="1" applyBorder="1"/>
    <xf numFmtId="44" fontId="3" fillId="0" borderId="1" xfId="1" applyFont="1" applyFill="1" applyBorder="1"/>
    <xf numFmtId="44" fontId="10" fillId="0" borderId="1" xfId="1" applyFont="1" applyBorder="1"/>
    <xf numFmtId="44" fontId="7" fillId="0" borderId="1" xfId="4" applyFont="1" applyBorder="1"/>
    <xf numFmtId="0" fontId="10" fillId="0" borderId="1" xfId="0" applyFont="1" applyBorder="1"/>
    <xf numFmtId="0" fontId="4" fillId="0" borderId="0" xfId="0" applyFont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3" fillId="0" borderId="1" xfId="3" applyNumberFormat="1" applyBorder="1"/>
    <xf numFmtId="44" fontId="0" fillId="0" borderId="1" xfId="1" applyFont="1" applyFill="1" applyBorder="1"/>
    <xf numFmtId="44" fontId="0" fillId="0" borderId="1" xfId="0" applyNumberFormat="1" applyBorder="1"/>
    <xf numFmtId="44" fontId="7" fillId="0" borderId="1" xfId="3" applyNumberFormat="1" applyFont="1" applyBorder="1"/>
    <xf numFmtId="3" fontId="3" fillId="0" borderId="0" xfId="3"/>
    <xf numFmtId="0" fontId="4" fillId="0" borderId="0" xfId="0" applyFont="1" applyAlignment="1">
      <alignment horizontal="left"/>
    </xf>
    <xf numFmtId="3" fontId="8" fillId="0" borderId="0" xfId="0" applyNumberFormat="1" applyFont="1"/>
    <xf numFmtId="3" fontId="12" fillId="0" borderId="1" xfId="0" applyNumberFormat="1" applyFont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3" fontId="8" fillId="0" borderId="1" xfId="0" applyNumberFormat="1" applyFont="1" applyBorder="1"/>
    <xf numFmtId="44" fontId="13" fillId="0" borderId="0" xfId="1" applyFont="1"/>
    <xf numFmtId="0" fontId="13" fillId="0" borderId="0" xfId="0" applyFont="1"/>
    <xf numFmtId="0" fontId="13" fillId="0" borderId="4" xfId="0" applyFont="1" applyBorder="1"/>
    <xf numFmtId="44" fontId="13" fillId="0" borderId="1" xfId="0" applyNumberFormat="1" applyFont="1" applyBorder="1"/>
    <xf numFmtId="3" fontId="7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2" fontId="3" fillId="0" borderId="1" xfId="2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vertical="top"/>
    </xf>
    <xf numFmtId="44" fontId="10" fillId="0" borderId="0" xfId="1" applyFont="1"/>
    <xf numFmtId="3" fontId="4" fillId="0" borderId="0" xfId="9" applyFont="1"/>
    <xf numFmtId="3" fontId="5" fillId="0" borderId="1" xfId="9" applyFont="1" applyBorder="1"/>
    <xf numFmtId="3" fontId="5" fillId="0" borderId="1" xfId="9" applyFont="1" applyBorder="1" applyAlignment="1">
      <alignment horizontal="center"/>
    </xf>
    <xf numFmtId="3" fontId="3" fillId="0" borderId="1" xfId="9" applyBorder="1"/>
    <xf numFmtId="3" fontId="4" fillId="0" borderId="1" xfId="9" applyFont="1" applyBorder="1"/>
    <xf numFmtId="3" fontId="4" fillId="0" borderId="1" xfId="9" applyFont="1" applyBorder="1" applyAlignment="1">
      <alignment horizontal="left"/>
    </xf>
    <xf numFmtId="3" fontId="5" fillId="0" borderId="1" xfId="9" applyFont="1" applyBorder="1" applyAlignment="1">
      <alignment horizontal="left"/>
    </xf>
    <xf numFmtId="3" fontId="4" fillId="0" borderId="0" xfId="9" applyFont="1" applyAlignment="1">
      <alignment horizontal="left"/>
    </xf>
    <xf numFmtId="3" fontId="3" fillId="0" borderId="0" xfId="9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3" fontId="4" fillId="0" borderId="0" xfId="10" applyFont="1" applyAlignment="1">
      <alignment horizontal="left"/>
    </xf>
    <xf numFmtId="3" fontId="4" fillId="0" borderId="0" xfId="10" applyFont="1"/>
    <xf numFmtId="3" fontId="3" fillId="0" borderId="0" xfId="10" applyAlignment="1">
      <alignment horizontal="left"/>
    </xf>
    <xf numFmtId="3" fontId="3" fillId="0" borderId="0" xfId="10"/>
    <xf numFmtId="3" fontId="5" fillId="0" borderId="1" xfId="11" applyFont="1" applyBorder="1" applyAlignment="1">
      <alignment horizontal="left"/>
    </xf>
    <xf numFmtId="3" fontId="5" fillId="0" borderId="1" xfId="11" applyFont="1" applyBorder="1" applyAlignment="1">
      <alignment horizontal="center"/>
    </xf>
    <xf numFmtId="3" fontId="4" fillId="0" borderId="1" xfId="11" applyFont="1" applyBorder="1" applyAlignment="1">
      <alignment horizontal="left"/>
    </xf>
    <xf numFmtId="3" fontId="5" fillId="0" borderId="1" xfId="11" applyFont="1" applyBorder="1"/>
    <xf numFmtId="3" fontId="4" fillId="0" borderId="1" xfId="11" applyFont="1" applyBorder="1"/>
    <xf numFmtId="44" fontId="0" fillId="0" borderId="4" xfId="1" applyFont="1" applyBorder="1"/>
    <xf numFmtId="3" fontId="4" fillId="0" borderId="1" xfId="11" applyFont="1" applyBorder="1" applyAlignment="1">
      <alignment horizontal="left" vertical="top"/>
    </xf>
    <xf numFmtId="3" fontId="4" fillId="0" borderId="0" xfId="11" applyFont="1" applyAlignment="1">
      <alignment horizontal="left" vertical="top"/>
    </xf>
    <xf numFmtId="3" fontId="4" fillId="0" borderId="0" xfId="11" applyFont="1"/>
    <xf numFmtId="3" fontId="5" fillId="0" borderId="1" xfId="12" applyFont="1" applyBorder="1" applyAlignment="1">
      <alignment horizontal="left"/>
    </xf>
    <xf numFmtId="3" fontId="5" fillId="0" borderId="1" xfId="12" applyFont="1" applyBorder="1" applyAlignment="1">
      <alignment horizontal="center"/>
    </xf>
    <xf numFmtId="3" fontId="4" fillId="0" borderId="1" xfId="12" applyFont="1" applyBorder="1" applyAlignment="1">
      <alignment horizontal="left"/>
    </xf>
    <xf numFmtId="3" fontId="11" fillId="0" borderId="1" xfId="12" applyFont="1" applyBorder="1"/>
    <xf numFmtId="3" fontId="4" fillId="0" borderId="1" xfId="12" applyFont="1" applyBorder="1"/>
    <xf numFmtId="44" fontId="4" fillId="0" borderId="1" xfId="12" applyNumberFormat="1" applyFont="1" applyBorder="1"/>
    <xf numFmtId="3" fontId="5" fillId="0" borderId="1" xfId="12" applyFont="1" applyBorder="1"/>
    <xf numFmtId="3" fontId="4" fillId="0" borderId="1" xfId="12" applyFont="1" applyBorder="1" applyAlignment="1">
      <alignment horizontal="left" vertical="top"/>
    </xf>
    <xf numFmtId="3" fontId="5" fillId="0" borderId="1" xfId="12" applyFont="1" applyBorder="1" applyAlignment="1">
      <alignment horizontal="left" vertical="top"/>
    </xf>
    <xf numFmtId="3" fontId="3" fillId="0" borderId="1" xfId="12" applyBorder="1" applyAlignment="1">
      <alignment horizontal="left"/>
    </xf>
    <xf numFmtId="3" fontId="3" fillId="0" borderId="1" xfId="12" applyBorder="1"/>
    <xf numFmtId="42" fontId="4" fillId="0" borderId="1" xfId="13" applyFont="1" applyBorder="1"/>
    <xf numFmtId="3" fontId="4" fillId="0" borderId="0" xfId="12" applyFont="1" applyAlignment="1">
      <alignment horizontal="left" vertical="top"/>
    </xf>
    <xf numFmtId="3" fontId="4" fillId="0" borderId="0" xfId="12" applyFont="1"/>
    <xf numFmtId="3" fontId="3" fillId="0" borderId="0" xfId="12" applyAlignment="1">
      <alignment horizontal="left"/>
    </xf>
    <xf numFmtId="3" fontId="3" fillId="0" borderId="0" xfId="12"/>
    <xf numFmtId="3" fontId="4" fillId="0" borderId="0" xfId="0" applyNumberFormat="1" applyFont="1" applyAlignment="1">
      <alignment horizontal="left"/>
    </xf>
    <xf numFmtId="0" fontId="0" fillId="0" borderId="2" xfId="0" applyBorder="1"/>
    <xf numFmtId="3" fontId="4" fillId="0" borderId="0" xfId="15" applyFont="1" applyAlignment="1">
      <alignment horizontal="left"/>
    </xf>
    <xf numFmtId="3" fontId="4" fillId="0" borderId="0" xfId="15" applyFont="1" applyAlignment="1">
      <alignment horizontal="right"/>
    </xf>
    <xf numFmtId="44" fontId="0" fillId="0" borderId="0" xfId="1" applyFont="1" applyBorder="1"/>
    <xf numFmtId="3" fontId="4" fillId="0" borderId="0" xfId="15" applyFont="1" applyAlignment="1">
      <alignment horizontal="left" vertical="center"/>
    </xf>
    <xf numFmtId="3" fontId="4" fillId="0" borderId="0" xfId="15" applyFont="1"/>
    <xf numFmtId="42" fontId="4" fillId="0" borderId="1" xfId="14" applyFont="1" applyBorder="1" applyAlignment="1">
      <alignment horizontal="left"/>
    </xf>
    <xf numFmtId="42" fontId="4" fillId="0" borderId="1" xfId="14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44" fontId="10" fillId="0" borderId="1" xfId="1" applyFont="1" applyFill="1" applyBorder="1"/>
    <xf numFmtId="0" fontId="16" fillId="0" borderId="1" xfId="0" applyFont="1" applyBorder="1" applyAlignment="1">
      <alignment horizontal="left"/>
    </xf>
    <xf numFmtId="3" fontId="4" fillId="0" borderId="0" xfId="11" applyFont="1" applyAlignment="1">
      <alignment horizontal="left"/>
    </xf>
    <xf numFmtId="3" fontId="5" fillId="0" borderId="0" xfId="11" applyFont="1" applyAlignment="1">
      <alignment horizontal="left"/>
    </xf>
    <xf numFmtId="3" fontId="5" fillId="0" borderId="0" xfId="11" applyFont="1" applyAlignment="1">
      <alignment horizontal="left" vertical="top"/>
    </xf>
    <xf numFmtId="3" fontId="3" fillId="0" borderId="0" xfId="16" applyAlignment="1">
      <alignment horizontal="left"/>
    </xf>
    <xf numFmtId="3" fontId="3" fillId="0" borderId="0" xfId="16"/>
    <xf numFmtId="3" fontId="4" fillId="0" borderId="0" xfId="17" applyFont="1" applyAlignment="1">
      <alignment horizontal="left"/>
    </xf>
    <xf numFmtId="3" fontId="4" fillId="0" borderId="0" xfId="17" applyFont="1"/>
    <xf numFmtId="3" fontId="3" fillId="0" borderId="0" xfId="17"/>
    <xf numFmtId="3" fontId="5" fillId="0" borderId="1" xfId="17" applyFont="1" applyBorder="1" applyAlignment="1">
      <alignment horizontal="left"/>
    </xf>
    <xf numFmtId="3" fontId="5" fillId="0" borderId="1" xfId="17" applyFont="1" applyBorder="1" applyAlignment="1">
      <alignment horizontal="center"/>
    </xf>
    <xf numFmtId="3" fontId="4" fillId="0" borderId="1" xfId="17" applyFont="1" applyBorder="1" applyAlignment="1">
      <alignment horizontal="left"/>
    </xf>
    <xf numFmtId="3" fontId="4" fillId="0" borderId="1" xfId="17" applyFont="1" applyBorder="1"/>
    <xf numFmtId="44" fontId="3" fillId="0" borderId="1" xfId="17" applyNumberFormat="1" applyBorder="1"/>
    <xf numFmtId="3" fontId="3" fillId="0" borderId="0" xfId="17" applyAlignment="1">
      <alignment horizontal="left"/>
    </xf>
    <xf numFmtId="3" fontId="5" fillId="0" borderId="0" xfId="17" applyFont="1"/>
    <xf numFmtId="44" fontId="0" fillId="0" borderId="4" xfId="1" applyFont="1" applyFill="1" applyBorder="1"/>
    <xf numFmtId="165" fontId="13" fillId="0" borderId="0" xfId="1" applyNumberFormat="1" applyFont="1"/>
    <xf numFmtId="165" fontId="13" fillId="0" borderId="0" xfId="1" applyNumberFormat="1" applyFont="1" applyAlignment="1">
      <alignment horizontal="right"/>
    </xf>
    <xf numFmtId="44" fontId="13" fillId="0" borderId="0" xfId="0" applyNumberFormat="1" applyFont="1"/>
    <xf numFmtId="44" fontId="2" fillId="0" borderId="4" xfId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44" fontId="7" fillId="0" borderId="1" xfId="1" applyFont="1" applyFill="1" applyBorder="1"/>
    <xf numFmtId="44" fontId="2" fillId="0" borderId="1" xfId="1" applyFont="1" applyFill="1" applyBorder="1"/>
    <xf numFmtId="44" fontId="3" fillId="0" borderId="1" xfId="1" applyFont="1" applyFill="1" applyBorder="1" applyAlignment="1">
      <alignment horizontal="center"/>
    </xf>
    <xf numFmtId="44" fontId="3" fillId="0" borderId="1" xfId="4" applyFont="1" applyBorder="1" applyAlignment="1">
      <alignment horizontal="center"/>
    </xf>
    <xf numFmtId="44" fontId="14" fillId="0" borderId="2" xfId="1" applyFont="1" applyFill="1" applyBorder="1"/>
    <xf numFmtId="164" fontId="3" fillId="0" borderId="1" xfId="1" applyNumberFormat="1" applyFont="1" applyFill="1" applyBorder="1"/>
    <xf numFmtId="44" fontId="0" fillId="0" borderId="1" xfId="1" applyFont="1" applyBorder="1" applyAlignment="1">
      <alignment horizontal="center"/>
    </xf>
    <xf numFmtId="44" fontId="0" fillId="0" borderId="7" xfId="1" applyFont="1" applyFill="1" applyBorder="1"/>
    <xf numFmtId="44" fontId="13" fillId="0" borderId="4" xfId="1" applyFont="1" applyFill="1" applyBorder="1"/>
    <xf numFmtId="0" fontId="2" fillId="0" borderId="4" xfId="0" applyFont="1" applyBorder="1" applyAlignment="1">
      <alignment horizontal="center" wrapText="1"/>
    </xf>
    <xf numFmtId="44" fontId="10" fillId="0" borderId="1" xfId="1" applyFont="1" applyBorder="1" applyAlignment="1">
      <alignment horizontal="center"/>
    </xf>
    <xf numFmtId="0" fontId="0" fillId="0" borderId="4" xfId="0" applyBorder="1"/>
    <xf numFmtId="44" fontId="2" fillId="0" borderId="4" xfId="1" applyFont="1" applyFill="1" applyBorder="1"/>
    <xf numFmtId="44" fontId="4" fillId="0" borderId="4" xfId="12" applyNumberFormat="1" applyFont="1" applyBorder="1"/>
    <xf numFmtId="44" fontId="7" fillId="0" borderId="4" xfId="3" applyNumberFormat="1" applyFont="1" applyBorder="1"/>
    <xf numFmtId="44" fontId="3" fillId="0" borderId="4" xfId="4" applyFont="1" applyBorder="1"/>
    <xf numFmtId="44" fontId="2" fillId="0" borderId="1" xfId="1" applyFont="1" applyBorder="1" applyAlignment="1">
      <alignment horizontal="center"/>
    </xf>
    <xf numFmtId="44" fontId="2" fillId="0" borderId="4" xfId="1" applyFont="1" applyBorder="1" applyAlignment="1">
      <alignment horizontal="center" wrapText="1"/>
    </xf>
    <xf numFmtId="44" fontId="0" fillId="0" borderId="4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18" fillId="0" borderId="4" xfId="1" applyFont="1" applyFill="1" applyBorder="1"/>
    <xf numFmtId="44" fontId="8" fillId="0" borderId="4" xfId="1" applyFont="1" applyFill="1" applyBorder="1" applyAlignment="1">
      <alignment horizontal="right"/>
    </xf>
    <xf numFmtId="44" fontId="8" fillId="0" borderId="4" xfId="1" applyFont="1" applyFill="1" applyBorder="1"/>
    <xf numFmtId="44" fontId="12" fillId="0" borderId="1" xfId="3" applyNumberFormat="1" applyFont="1" applyBorder="1"/>
    <xf numFmtId="3" fontId="8" fillId="0" borderId="1" xfId="0" applyNumberFormat="1" applyFont="1" applyBorder="1" applyAlignment="1">
      <alignment horizontal="left" vertical="top"/>
    </xf>
    <xf numFmtId="44" fontId="8" fillId="0" borderId="1" xfId="1" applyFont="1" applyFill="1" applyBorder="1" applyAlignment="1">
      <alignment horizontal="right"/>
    </xf>
    <xf numFmtId="44" fontId="0" fillId="0" borderId="0" xfId="1" applyFont="1" applyFill="1"/>
    <xf numFmtId="3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left" vertical="top"/>
    </xf>
    <xf numFmtId="3" fontId="8" fillId="0" borderId="1" xfId="0" applyNumberFormat="1" applyFont="1" applyBorder="1" applyAlignment="1">
      <alignment horizontal="center"/>
    </xf>
    <xf numFmtId="44" fontId="0" fillId="0" borderId="8" xfId="1" applyFont="1" applyFill="1" applyBorder="1"/>
    <xf numFmtId="44" fontId="12" fillId="0" borderId="1" xfId="1" applyFont="1" applyFill="1" applyBorder="1" applyAlignment="1"/>
    <xf numFmtId="44" fontId="8" fillId="0" borderId="0" xfId="1" applyFont="1" applyBorder="1"/>
    <xf numFmtId="44" fontId="8" fillId="0" borderId="3" xfId="1" applyFont="1" applyFill="1" applyBorder="1" applyAlignment="1"/>
    <xf numFmtId="44" fontId="0" fillId="0" borderId="1" xfId="1" applyFont="1" applyFill="1" applyBorder="1" applyAlignment="1">
      <alignment horizontal="center"/>
    </xf>
    <xf numFmtId="3" fontId="8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wrapText="1"/>
    </xf>
    <xf numFmtId="3" fontId="8" fillId="0" borderId="1" xfId="3" applyFont="1" applyBorder="1" applyAlignment="1">
      <alignment horizontal="center" wrapText="1"/>
    </xf>
    <xf numFmtId="3" fontId="8" fillId="0" borderId="1" xfId="3" applyFont="1" applyBorder="1"/>
    <xf numFmtId="9" fontId="8" fillId="0" borderId="1" xfId="2" applyFont="1" applyBorder="1" applyAlignment="1"/>
    <xf numFmtId="44" fontId="12" fillId="0" borderId="1" xfId="1" applyFont="1" applyBorder="1"/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vertical="top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vertical="top"/>
    </xf>
    <xf numFmtId="44" fontId="8" fillId="0" borderId="0" xfId="1" applyFont="1" applyAlignment="1"/>
    <xf numFmtId="3" fontId="8" fillId="0" borderId="0" xfId="3" applyFont="1"/>
    <xf numFmtId="44" fontId="12" fillId="0" borderId="0" xfId="1" applyFont="1" applyBorder="1"/>
    <xf numFmtId="44" fontId="12" fillId="0" borderId="0" xfId="1" applyFont="1" applyAlignment="1"/>
    <xf numFmtId="7" fontId="8" fillId="0" borderId="0" xfId="1" applyNumberFormat="1" applyFont="1" applyAlignment="1"/>
    <xf numFmtId="2" fontId="8" fillId="0" borderId="1" xfId="2" applyNumberFormat="1" applyFont="1" applyFill="1" applyBorder="1" applyAlignment="1">
      <alignment horizontal="left"/>
    </xf>
    <xf numFmtId="44" fontId="8" fillId="0" borderId="1" xfId="3" applyNumberFormat="1" applyFont="1" applyBorder="1"/>
    <xf numFmtId="44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0" fillId="0" borderId="5" xfId="1" applyFont="1" applyBorder="1"/>
    <xf numFmtId="44" fontId="0" fillId="0" borderId="5" xfId="1" applyFont="1" applyFill="1" applyBorder="1"/>
    <xf numFmtId="44" fontId="0" fillId="0" borderId="3" xfId="1" applyFont="1" applyFill="1" applyBorder="1"/>
    <xf numFmtId="44" fontId="8" fillId="4" borderId="1" xfId="1" applyFont="1" applyFill="1" applyBorder="1"/>
    <xf numFmtId="3" fontId="12" fillId="0" borderId="1" xfId="0" applyNumberFormat="1" applyFont="1" applyBorder="1" applyAlignment="1">
      <alignment horizontal="left" vertical="top"/>
    </xf>
    <xf numFmtId="3" fontId="22" fillId="0" borderId="0" xfId="0" applyNumberFormat="1" applyFont="1" applyAlignment="1">
      <alignment horizontal="left" vertical="top"/>
    </xf>
    <xf numFmtId="3" fontId="8" fillId="0" borderId="0" xfId="0" applyNumberFormat="1" applyFont="1" applyAlignment="1">
      <alignment horizontal="left" vertical="top"/>
    </xf>
    <xf numFmtId="7" fontId="0" fillId="0" borderId="1" xfId="1" applyNumberFormat="1" applyFont="1" applyBorder="1"/>
    <xf numFmtId="7" fontId="2" fillId="0" borderId="1" xfId="1" applyNumberFormat="1" applyFont="1" applyBorder="1"/>
    <xf numFmtId="44" fontId="2" fillId="0" borderId="1" xfId="1" applyFont="1" applyBorder="1" applyAlignment="1">
      <alignment wrapText="1"/>
    </xf>
    <xf numFmtId="44" fontId="1" fillId="0" borderId="1" xfId="1" applyFont="1" applyBorder="1" applyAlignment="1">
      <alignment wrapText="1"/>
    </xf>
    <xf numFmtId="3" fontId="8" fillId="0" borderId="1" xfId="7" applyFont="1" applyBorder="1" applyAlignment="1">
      <alignment horizontal="left"/>
    </xf>
    <xf numFmtId="0" fontId="8" fillId="0" borderId="1" xfId="0" applyFont="1" applyBorder="1"/>
    <xf numFmtId="44" fontId="1" fillId="0" borderId="1" xfId="1" applyFont="1" applyBorder="1" applyAlignment="1">
      <alignment horizontal="center"/>
    </xf>
    <xf numFmtId="3" fontId="8" fillId="0" borderId="1" xfId="7" applyFont="1" applyBorder="1"/>
    <xf numFmtId="44" fontId="1" fillId="0" borderId="1" xfId="1" applyFont="1" applyFill="1" applyBorder="1" applyAlignment="1">
      <alignment wrapText="1"/>
    </xf>
    <xf numFmtId="44" fontId="8" fillId="0" borderId="1" xfId="1" applyFont="1" applyFill="1" applyBorder="1" applyAlignment="1">
      <alignment wrapText="1"/>
    </xf>
    <xf numFmtId="44" fontId="1" fillId="0" borderId="1" xfId="1" applyFont="1" applyBorder="1" applyAlignment="1">
      <alignment horizontal="right"/>
    </xf>
    <xf numFmtId="44" fontId="1" fillId="0" borderId="1" xfId="1" applyFont="1" applyFill="1" applyBorder="1" applyAlignment="1">
      <alignment horizontal="right"/>
    </xf>
    <xf numFmtId="44" fontId="1" fillId="0" borderId="1" xfId="0" applyNumberFormat="1" applyFont="1" applyBorder="1"/>
    <xf numFmtId="3" fontId="12" fillId="0" borderId="1" xfId="7" applyFont="1" applyBorder="1" applyAlignment="1">
      <alignment horizontal="left"/>
    </xf>
    <xf numFmtId="3" fontId="12" fillId="0" borderId="1" xfId="7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/>
    <xf numFmtId="44" fontId="15" fillId="0" borderId="1" xfId="1" applyFont="1" applyBorder="1" applyAlignment="1">
      <alignment horizontal="center"/>
    </xf>
    <xf numFmtId="3" fontId="7" fillId="0" borderId="0" xfId="0" applyNumberFormat="1" applyFont="1" applyAlignment="1">
      <alignment vertical="top"/>
    </xf>
    <xf numFmtId="44" fontId="2" fillId="0" borderId="0" xfId="1" applyFont="1"/>
    <xf numFmtId="3" fontId="7" fillId="0" borderId="10" xfId="0" applyNumberFormat="1" applyFont="1" applyBorder="1"/>
    <xf numFmtId="0" fontId="2" fillId="0" borderId="1" xfId="0" applyFont="1" applyBorder="1" applyAlignment="1">
      <alignment horizontal="center"/>
    </xf>
    <xf numFmtId="166" fontId="0" fillId="0" borderId="1" xfId="0" applyNumberFormat="1" applyBorder="1"/>
    <xf numFmtId="166" fontId="2" fillId="0" borderId="1" xfId="0" applyNumberFormat="1" applyFont="1" applyBorder="1"/>
    <xf numFmtId="0" fontId="0" fillId="0" borderId="4" xfId="0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1" fillId="0" borderId="4" xfId="1" applyFont="1" applyBorder="1" applyAlignment="1">
      <alignment horizontal="center"/>
    </xf>
    <xf numFmtId="44" fontId="20" fillId="0" borderId="1" xfId="1" applyFont="1" applyBorder="1" applyAlignment="1">
      <alignment horizontal="center" wrapText="1"/>
    </xf>
    <xf numFmtId="44" fontId="0" fillId="0" borderId="0" xfId="0" applyNumberFormat="1"/>
    <xf numFmtId="44" fontId="0" fillId="0" borderId="3" xfId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44" fontId="0" fillId="0" borderId="7" xfId="1" applyFont="1" applyFill="1" applyBorder="1" applyAlignment="1">
      <alignment horizontal="center"/>
    </xf>
    <xf numFmtId="44" fontId="10" fillId="0" borderId="0" xfId="0" applyNumberFormat="1" applyFont="1"/>
    <xf numFmtId="44" fontId="15" fillId="0" borderId="1" xfId="1" applyFont="1" applyFill="1" applyBorder="1"/>
    <xf numFmtId="0" fontId="15" fillId="0" borderId="0" xfId="0" applyFont="1"/>
    <xf numFmtId="44" fontId="10" fillId="0" borderId="1" xfId="0" applyNumberFormat="1" applyFont="1" applyBorder="1"/>
    <xf numFmtId="44" fontId="15" fillId="0" borderId="0" xfId="1" applyFont="1" applyBorder="1"/>
    <xf numFmtId="44" fontId="12" fillId="0" borderId="1" xfId="1" applyFont="1" applyFill="1" applyBorder="1"/>
    <xf numFmtId="44" fontId="14" fillId="0" borderId="1" xfId="1" applyFont="1" applyFill="1" applyBorder="1"/>
    <xf numFmtId="44" fontId="10" fillId="0" borderId="4" xfId="1" applyFont="1" applyBorder="1"/>
    <xf numFmtId="44" fontId="1" fillId="0" borderId="4" xfId="1" applyFont="1" applyBorder="1"/>
    <xf numFmtId="44" fontId="8" fillId="0" borderId="4" xfId="1" applyFont="1" applyBorder="1" applyAlignment="1">
      <alignment wrapText="1"/>
    </xf>
    <xf numFmtId="44" fontId="7" fillId="0" borderId="4" xfId="1" applyFont="1" applyBorder="1" applyAlignment="1"/>
    <xf numFmtId="44" fontId="8" fillId="0" borderId="4" xfId="1" applyFont="1" applyBorder="1"/>
    <xf numFmtId="44" fontId="8" fillId="4" borderId="4" xfId="1" applyFont="1" applyFill="1" applyBorder="1"/>
    <xf numFmtId="44" fontId="8" fillId="0" borderId="4" xfId="1" applyFont="1" applyBorder="1" applyAlignment="1"/>
    <xf numFmtId="44" fontId="2" fillId="0" borderId="4" xfId="0" applyNumberFormat="1" applyFont="1" applyBorder="1"/>
    <xf numFmtId="44" fontId="15" fillId="0" borderId="0" xfId="0" applyNumberFormat="1" applyFont="1"/>
    <xf numFmtId="166" fontId="2" fillId="0" borderId="1" xfId="1" applyNumberFormat="1" applyFont="1" applyBorder="1" applyAlignment="1">
      <alignment horizontal="center"/>
    </xf>
    <xf numFmtId="3" fontId="3" fillId="0" borderId="2" xfId="3" applyBorder="1" applyAlignment="1">
      <alignment horizontal="left"/>
    </xf>
    <xf numFmtId="44" fontId="14" fillId="0" borderId="3" xfId="1" applyFont="1" applyFill="1" applyBorder="1"/>
    <xf numFmtId="44" fontId="3" fillId="0" borderId="2" xfId="1" applyFont="1" applyFill="1" applyBorder="1"/>
    <xf numFmtId="3" fontId="3" fillId="0" borderId="0" xfId="3" applyAlignment="1">
      <alignment horizontal="left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44" fontId="3" fillId="0" borderId="0" xfId="4" applyFont="1" applyAlignment="1">
      <alignment horizontal="center"/>
    </xf>
    <xf numFmtId="44" fontId="3" fillId="0" borderId="11" xfId="4" applyFont="1" applyBorder="1"/>
    <xf numFmtId="3" fontId="7" fillId="0" borderId="1" xfId="3" applyFont="1" applyBorder="1" applyAlignment="1">
      <alignment horizontal="left"/>
    </xf>
    <xf numFmtId="44" fontId="2" fillId="0" borderId="1" xfId="1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44" fontId="25" fillId="0" borderId="1" xfId="1" applyFont="1" applyBorder="1" applyAlignment="1">
      <alignment horizontal="center" wrapText="1"/>
    </xf>
    <xf numFmtId="4" fontId="0" fillId="0" borderId="1" xfId="0" applyNumberFormat="1" applyBorder="1"/>
    <xf numFmtId="4" fontId="16" fillId="0" borderId="1" xfId="1" applyNumberFormat="1" applyFont="1" applyFill="1" applyBorder="1"/>
    <xf numFmtId="4" fontId="9" fillId="0" borderId="1" xfId="1" applyNumberFormat="1" applyFont="1" applyFill="1" applyBorder="1"/>
    <xf numFmtId="169" fontId="0" fillId="0" borderId="1" xfId="0" applyNumberFormat="1" applyBorder="1"/>
    <xf numFmtId="169" fontId="16" fillId="0" borderId="1" xfId="1" applyNumberFormat="1" applyFont="1" applyFill="1" applyBorder="1"/>
    <xf numFmtId="169" fontId="9" fillId="0" borderId="1" xfId="1" applyNumberFormat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70" fontId="0" fillId="0" borderId="1" xfId="1" applyNumberFormat="1" applyFont="1" applyFill="1" applyBorder="1"/>
    <xf numFmtId="170" fontId="12" fillId="0" borderId="4" xfId="1" applyNumberFormat="1" applyFont="1" applyFill="1" applyBorder="1" applyAlignment="1"/>
    <xf numFmtId="3" fontId="26" fillId="0" borderId="1" xfId="0" applyNumberFormat="1" applyFont="1" applyBorder="1" applyAlignment="1">
      <alignment horizontal="left"/>
    </xf>
    <xf numFmtId="3" fontId="26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3" fontId="28" fillId="0" borderId="1" xfId="0" applyNumberFormat="1" applyFont="1" applyBorder="1" applyAlignment="1">
      <alignment horizontal="left"/>
    </xf>
    <xf numFmtId="3" fontId="29" fillId="0" borderId="1" xfId="0" applyNumberFormat="1" applyFont="1" applyBorder="1" applyAlignment="1">
      <alignment horizontal="left"/>
    </xf>
    <xf numFmtId="0" fontId="30" fillId="0" borderId="1" xfId="0" applyFont="1" applyBorder="1"/>
    <xf numFmtId="44" fontId="30" fillId="0" borderId="1" xfId="1" applyFont="1" applyBorder="1"/>
    <xf numFmtId="3" fontId="28" fillId="0" borderId="1" xfId="0" applyNumberFormat="1" applyFont="1" applyBorder="1"/>
    <xf numFmtId="44" fontId="30" fillId="0" borderId="1" xfId="1" applyFont="1" applyFill="1" applyBorder="1"/>
    <xf numFmtId="44" fontId="28" fillId="0" borderId="1" xfId="1" applyFont="1" applyBorder="1"/>
    <xf numFmtId="0" fontId="30" fillId="0" borderId="0" xfId="0" applyFont="1"/>
    <xf numFmtId="44" fontId="30" fillId="0" borderId="1" xfId="0" applyNumberFormat="1" applyFont="1" applyBorder="1"/>
    <xf numFmtId="44" fontId="28" fillId="0" borderId="1" xfId="1" applyFont="1" applyFill="1" applyBorder="1"/>
    <xf numFmtId="3" fontId="28" fillId="0" borderId="1" xfId="0" applyNumberFormat="1" applyFont="1" applyBorder="1" applyAlignment="1">
      <alignment horizontal="left" vertical="top"/>
    </xf>
    <xf numFmtId="3" fontId="26" fillId="0" borderId="1" xfId="0" applyNumberFormat="1" applyFont="1" applyBorder="1"/>
    <xf numFmtId="44" fontId="27" fillId="0" borderId="1" xfId="1" applyFont="1" applyBorder="1"/>
    <xf numFmtId="3" fontId="28" fillId="0" borderId="1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left" vertical="top"/>
    </xf>
    <xf numFmtId="3" fontId="28" fillId="0" borderId="0" xfId="0" applyNumberFormat="1" applyFont="1"/>
    <xf numFmtId="4" fontId="10" fillId="0" borderId="1" xfId="1" applyNumberFormat="1" applyFont="1" applyFill="1" applyBorder="1"/>
    <xf numFmtId="4" fontId="13" fillId="0" borderId="1" xfId="1" applyNumberFormat="1" applyFont="1" applyFill="1" applyBorder="1"/>
    <xf numFmtId="4" fontId="10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4" fontId="30" fillId="0" borderId="1" xfId="1" applyNumberFormat="1" applyFont="1" applyFill="1" applyBorder="1"/>
    <xf numFmtId="166" fontId="1" fillId="0" borderId="1" xfId="0" applyNumberFormat="1" applyFont="1" applyBorder="1"/>
    <xf numFmtId="166" fontId="1" fillId="0" borderId="4" xfId="0" applyNumberFormat="1" applyFont="1" applyBorder="1"/>
    <xf numFmtId="44" fontId="26" fillId="0" borderId="1" xfId="1" applyFont="1" applyBorder="1"/>
    <xf numFmtId="3" fontId="3" fillId="0" borderId="1" xfId="6" applyBorder="1" applyAlignment="1">
      <alignment horizontal="left"/>
    </xf>
    <xf numFmtId="3" fontId="3" fillId="0" borderId="1" xfId="6" applyBorder="1" applyAlignment="1">
      <alignment horizontal="center"/>
    </xf>
    <xf numFmtId="44" fontId="13" fillId="0" borderId="1" xfId="1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4" fontId="13" fillId="0" borderId="1" xfId="1" applyFont="1" applyBorder="1" applyAlignment="1">
      <alignment horizontal="center"/>
    </xf>
    <xf numFmtId="167" fontId="13" fillId="0" borderId="1" xfId="0" applyNumberFormat="1" applyFont="1" applyBorder="1" applyAlignment="1">
      <alignment horizontal="right"/>
    </xf>
    <xf numFmtId="44" fontId="13" fillId="0" borderId="1" xfId="1" applyFont="1" applyBorder="1" applyAlignment="1"/>
    <xf numFmtId="167" fontId="13" fillId="0" borderId="1" xfId="1" applyNumberFormat="1" applyFont="1" applyBorder="1" applyAlignment="1">
      <alignment horizontal="right"/>
    </xf>
    <xf numFmtId="3" fontId="3" fillId="0" borderId="1" xfId="6" applyBorder="1" applyAlignment="1">
      <alignment horizontal="left" vertical="top"/>
    </xf>
    <xf numFmtId="3" fontId="3" fillId="0" borderId="1" xfId="6" applyBorder="1"/>
    <xf numFmtId="40" fontId="30" fillId="0" borderId="0" xfId="0" applyNumberFormat="1" applyFont="1"/>
    <xf numFmtId="3" fontId="28" fillId="0" borderId="0" xfId="6" applyFont="1" applyAlignment="1">
      <alignment horizontal="left"/>
    </xf>
    <xf numFmtId="3" fontId="28" fillId="0" borderId="0" xfId="6" applyFont="1"/>
    <xf numFmtId="44" fontId="30" fillId="0" borderId="0" xfId="1" applyFont="1"/>
    <xf numFmtId="44" fontId="30" fillId="0" borderId="0" xfId="1" applyFont="1" applyAlignment="1"/>
    <xf numFmtId="167" fontId="30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/>
    <xf numFmtId="44" fontId="10" fillId="0" borderId="4" xfId="1" applyFont="1" applyBorder="1" applyAlignment="1">
      <alignment horizontal="center"/>
    </xf>
    <xf numFmtId="166" fontId="28" fillId="0" borderId="0" xfId="0" applyNumberFormat="1" applyFont="1" applyAlignment="1">
      <alignment horizontal="right"/>
    </xf>
    <xf numFmtId="0" fontId="31" fillId="0" borderId="0" xfId="0" applyFont="1"/>
    <xf numFmtId="3" fontId="8" fillId="0" borderId="1" xfId="3" applyFont="1" applyBorder="1" applyAlignment="1">
      <alignment horizontal="center" vertical="top"/>
    </xf>
    <xf numFmtId="164" fontId="20" fillId="0" borderId="1" xfId="1" applyNumberFormat="1" applyFont="1" applyBorder="1" applyAlignment="1">
      <alignment horizontal="center" wrapText="1"/>
    </xf>
    <xf numFmtId="3" fontId="12" fillId="0" borderId="1" xfId="3" applyFont="1" applyBorder="1" applyAlignment="1">
      <alignment horizontal="center" vertical="top"/>
    </xf>
    <xf numFmtId="3" fontId="12" fillId="0" borderId="4" xfId="3" applyFont="1" applyBorder="1" applyAlignment="1">
      <alignment horizontal="center" vertical="top"/>
    </xf>
    <xf numFmtId="164" fontId="2" fillId="0" borderId="1" xfId="1" applyNumberFormat="1" applyFont="1" applyBorder="1"/>
    <xf numFmtId="3" fontId="8" fillId="0" borderId="4" xfId="3" applyFont="1" applyBorder="1" applyAlignment="1">
      <alignment horizontal="left" vertical="top"/>
    </xf>
    <xf numFmtId="164" fontId="2" fillId="0" borderId="1" xfId="1" applyNumberFormat="1" applyFont="1" applyFill="1" applyBorder="1"/>
    <xf numFmtId="3" fontId="8" fillId="0" borderId="7" xfId="3" applyFont="1" applyBorder="1" applyAlignment="1">
      <alignment horizontal="left" vertical="top"/>
    </xf>
    <xf numFmtId="3" fontId="12" fillId="0" borderId="4" xfId="3" applyFont="1" applyBorder="1" applyAlignment="1">
      <alignment horizontal="left" vertical="top"/>
    </xf>
    <xf numFmtId="3" fontId="8" fillId="0" borderId="0" xfId="3" applyFont="1" applyAlignment="1">
      <alignment horizontal="center" vertical="top"/>
    </xf>
    <xf numFmtId="3" fontId="12" fillId="0" borderId="0" xfId="3" applyFont="1" applyAlignment="1">
      <alignment horizontal="left" vertical="top"/>
    </xf>
    <xf numFmtId="0" fontId="1" fillId="0" borderId="4" xfId="0" applyFont="1" applyBorder="1"/>
    <xf numFmtId="164" fontId="12" fillId="0" borderId="1" xfId="1" applyNumberFormat="1" applyFont="1" applyFill="1" applyBorder="1"/>
    <xf numFmtId="3" fontId="8" fillId="0" borderId="4" xfId="3" applyFont="1" applyBorder="1"/>
    <xf numFmtId="164" fontId="32" fillId="0" borderId="1" xfId="1" applyNumberFormat="1" applyFont="1" applyFill="1" applyBorder="1"/>
    <xf numFmtId="164" fontId="1" fillId="0" borderId="1" xfId="0" applyNumberFormat="1" applyFont="1" applyBorder="1"/>
    <xf numFmtId="164" fontId="2" fillId="0" borderId="4" xfId="1" applyNumberFormat="1" applyFont="1" applyBorder="1"/>
    <xf numFmtId="3" fontId="8" fillId="0" borderId="1" xfId="3" applyFont="1" applyBorder="1" applyAlignment="1">
      <alignment horizontal="left" vertical="top"/>
    </xf>
    <xf numFmtId="3" fontId="12" fillId="0" borderId="1" xfId="3" applyFont="1" applyBorder="1" applyAlignment="1">
      <alignment horizontal="left" vertical="top"/>
    </xf>
    <xf numFmtId="3" fontId="8" fillId="0" borderId="4" xfId="3" applyFont="1" applyBorder="1" applyAlignment="1">
      <alignment horizontal="left" vertical="top" wrapText="1"/>
    </xf>
    <xf numFmtId="3" fontId="8" fillId="0" borderId="4" xfId="3" applyFont="1" applyBorder="1" applyAlignment="1">
      <alignment horizontal="center" vertical="top"/>
    </xf>
    <xf numFmtId="0" fontId="0" fillId="0" borderId="1" xfId="0" applyBorder="1" applyAlignment="1">
      <alignment wrapText="1"/>
    </xf>
    <xf numFmtId="4" fontId="0" fillId="0" borderId="1" xfId="1" applyNumberFormat="1" applyFont="1" applyFill="1" applyBorder="1"/>
    <xf numFmtId="3" fontId="28" fillId="0" borderId="1" xfId="3" applyFont="1" applyBorder="1"/>
    <xf numFmtId="44" fontId="28" fillId="0" borderId="1" xfId="1" applyFont="1" applyFill="1" applyBorder="1" applyAlignment="1"/>
    <xf numFmtId="44" fontId="28" fillId="0" borderId="1" xfId="4" applyFont="1" applyBorder="1"/>
    <xf numFmtId="3" fontId="26" fillId="0" borderId="1" xfId="10" applyFont="1" applyBorder="1" applyAlignment="1">
      <alignment horizontal="left"/>
    </xf>
    <xf numFmtId="3" fontId="26" fillId="0" borderId="1" xfId="10" applyFont="1" applyBorder="1" applyAlignment="1">
      <alignment horizontal="center"/>
    </xf>
    <xf numFmtId="3" fontId="28" fillId="0" borderId="1" xfId="10" applyFont="1" applyBorder="1" applyAlignment="1">
      <alignment horizontal="left"/>
    </xf>
    <xf numFmtId="3" fontId="26" fillId="0" borderId="1" xfId="10" applyFont="1" applyBorder="1"/>
    <xf numFmtId="169" fontId="1" fillId="0" borderId="1" xfId="0" applyNumberFormat="1" applyFont="1" applyBorder="1"/>
    <xf numFmtId="169" fontId="1" fillId="0" borderId="1" xfId="1" applyNumberFormat="1" applyFont="1" applyFill="1" applyBorder="1"/>
    <xf numFmtId="169" fontId="30" fillId="0" borderId="1" xfId="1" applyNumberFormat="1" applyFont="1" applyFill="1" applyBorder="1"/>
    <xf numFmtId="44" fontId="28" fillId="0" borderId="1" xfId="10" applyNumberFormat="1" applyFont="1" applyBorder="1"/>
    <xf numFmtId="3" fontId="28" fillId="0" borderId="1" xfId="10" applyFont="1" applyBorder="1"/>
    <xf numFmtId="3" fontId="26" fillId="0" borderId="1" xfId="10" applyFont="1" applyBorder="1" applyAlignment="1">
      <alignment horizontal="right"/>
    </xf>
    <xf numFmtId="44" fontId="28" fillId="0" borderId="4" xfId="1" applyFont="1" applyBorder="1"/>
    <xf numFmtId="44" fontId="28" fillId="0" borderId="4" xfId="1" applyFont="1" applyFill="1" applyBorder="1"/>
    <xf numFmtId="44" fontId="30" fillId="0" borderId="4" xfId="1" applyFont="1" applyFill="1" applyBorder="1"/>
    <xf numFmtId="8" fontId="28" fillId="0" borderId="1" xfId="1" applyNumberFormat="1" applyFont="1" applyFill="1" applyBorder="1"/>
    <xf numFmtId="44" fontId="3" fillId="0" borderId="1" xfId="1" applyFont="1" applyFill="1" applyBorder="1" applyAlignment="1">
      <alignment horizontal="center" wrapText="1"/>
    </xf>
    <xf numFmtId="169" fontId="0" fillId="0" borderId="1" xfId="1" applyNumberFormat="1" applyFont="1" applyFill="1" applyBorder="1"/>
    <xf numFmtId="44" fontId="1" fillId="0" borderId="1" xfId="1" applyFont="1" applyBorder="1" applyAlignment="1">
      <alignment horizontal="center" wrapText="1"/>
    </xf>
    <xf numFmtId="44" fontId="1" fillId="0" borderId="4" xfId="1" applyFont="1" applyFill="1" applyBorder="1"/>
    <xf numFmtId="44" fontId="1" fillId="0" borderId="3" xfId="1" applyFont="1" applyFill="1" applyBorder="1"/>
    <xf numFmtId="3" fontId="26" fillId="0" borderId="1" xfId="15" applyFont="1" applyBorder="1" applyAlignment="1">
      <alignment horizontal="left" vertical="center"/>
    </xf>
    <xf numFmtId="3" fontId="26" fillId="0" borderId="1" xfId="15" applyFont="1" applyBorder="1" applyAlignment="1">
      <alignment horizontal="center"/>
    </xf>
    <xf numFmtId="3" fontId="28" fillId="0" borderId="1" xfId="15" applyFont="1" applyBorder="1" applyAlignment="1">
      <alignment horizontal="left" vertical="center"/>
    </xf>
    <xf numFmtId="3" fontId="28" fillId="0" borderId="1" xfId="15" applyFont="1" applyBorder="1"/>
    <xf numFmtId="3" fontId="28" fillId="0" borderId="1" xfId="15" applyFont="1" applyBorder="1" applyAlignment="1">
      <alignment horizontal="left"/>
    </xf>
    <xf numFmtId="3" fontId="26" fillId="0" borderId="1" xfId="15" applyFont="1" applyBorder="1" applyAlignment="1">
      <alignment horizontal="left"/>
    </xf>
    <xf numFmtId="44" fontId="26" fillId="0" borderId="4" xfId="1" applyFont="1" applyBorder="1"/>
    <xf numFmtId="44" fontId="28" fillId="0" borderId="4" xfId="4" applyFont="1" applyBorder="1"/>
    <xf numFmtId="44" fontId="26" fillId="0" borderId="1" xfId="3" applyNumberFormat="1" applyFont="1" applyBorder="1"/>
    <xf numFmtId="44" fontId="26" fillId="0" borderId="4" xfId="3" applyNumberFormat="1" applyFont="1" applyBorder="1"/>
    <xf numFmtId="3" fontId="28" fillId="0" borderId="1" xfId="15" applyFont="1" applyBorder="1" applyAlignment="1">
      <alignment horizontal="right"/>
    </xf>
    <xf numFmtId="44" fontId="28" fillId="0" borderId="1" xfId="1" applyFont="1" applyFill="1" applyBorder="1" applyAlignment="1">
      <alignment horizontal="center"/>
    </xf>
    <xf numFmtId="44" fontId="28" fillId="0" borderId="4" xfId="1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left"/>
    </xf>
    <xf numFmtId="3" fontId="21" fillId="0" borderId="1" xfId="0" applyNumberFormat="1" applyFont="1" applyBorder="1"/>
    <xf numFmtId="44" fontId="21" fillId="0" borderId="1" xfId="1" applyFont="1" applyBorder="1" applyAlignment="1"/>
    <xf numFmtId="3" fontId="21" fillId="0" borderId="1" xfId="3" applyFont="1" applyBorder="1"/>
    <xf numFmtId="9" fontId="21" fillId="0" borderId="1" xfId="2" applyFont="1" applyBorder="1" applyAlignment="1"/>
    <xf numFmtId="44" fontId="21" fillId="0" borderId="1" xfId="1" applyFont="1" applyBorder="1"/>
    <xf numFmtId="44" fontId="10" fillId="0" borderId="1" xfId="1" applyFont="1" applyBorder="1" applyAlignment="1">
      <alignment horizontal="right"/>
    </xf>
    <xf numFmtId="44" fontId="21" fillId="0" borderId="1" xfId="1" applyFont="1" applyFill="1" applyBorder="1"/>
    <xf numFmtId="44" fontId="21" fillId="2" borderId="1" xfId="1" applyFont="1" applyFill="1" applyBorder="1" applyAlignment="1"/>
    <xf numFmtId="44" fontId="21" fillId="0" borderId="1" xfId="1" applyFont="1" applyFill="1" applyBorder="1" applyAlignment="1"/>
    <xf numFmtId="44" fontId="21" fillId="3" borderId="1" xfId="1" applyFont="1" applyFill="1" applyBorder="1" applyAlignment="1"/>
    <xf numFmtId="44" fontId="21" fillId="2" borderId="1" xfId="4" applyFont="1" applyFill="1" applyBorder="1"/>
    <xf numFmtId="3" fontId="21" fillId="0" borderId="1" xfId="0" applyNumberFormat="1" applyFont="1" applyBorder="1" applyAlignment="1">
      <alignment horizontal="left" vertical="center"/>
    </xf>
    <xf numFmtId="3" fontId="21" fillId="0" borderId="1" xfId="0" applyNumberFormat="1" applyFont="1" applyBorder="1" applyAlignment="1">
      <alignment vertical="top"/>
    </xf>
    <xf numFmtId="44" fontId="21" fillId="0" borderId="1" xfId="4" applyFont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/>
    <xf numFmtId="44" fontId="15" fillId="0" borderId="1" xfId="1" applyFont="1" applyBorder="1"/>
    <xf numFmtId="44" fontId="15" fillId="0" borderId="1" xfId="0" applyNumberFormat="1" applyFont="1" applyBorder="1"/>
    <xf numFmtId="0" fontId="10" fillId="0" borderId="0" xfId="0" applyFont="1" applyAlignment="1">
      <alignment horizontal="left"/>
    </xf>
    <xf numFmtId="3" fontId="7" fillId="0" borderId="1" xfId="16" applyFont="1" applyBorder="1" applyAlignment="1">
      <alignment horizontal="left"/>
    </xf>
    <xf numFmtId="3" fontId="3" fillId="0" borderId="1" xfId="16" applyBorder="1" applyAlignment="1">
      <alignment horizontal="left"/>
    </xf>
    <xf numFmtId="3" fontId="3" fillId="0" borderId="1" xfId="16" applyBorder="1"/>
    <xf numFmtId="44" fontId="2" fillId="0" borderId="0" xfId="0" applyNumberFormat="1" applyFont="1"/>
    <xf numFmtId="4" fontId="1" fillId="0" borderId="4" xfId="0" applyNumberFormat="1" applyFont="1" applyBorder="1"/>
    <xf numFmtId="4" fontId="1" fillId="0" borderId="4" xfId="1" applyNumberFormat="1" applyFont="1" applyFill="1" applyBorder="1"/>
    <xf numFmtId="4" fontId="30" fillId="0" borderId="4" xfId="1" applyNumberFormat="1" applyFont="1" applyFill="1" applyBorder="1"/>
    <xf numFmtId="44" fontId="27" fillId="0" borderId="1" xfId="1" applyFont="1" applyFill="1" applyBorder="1" applyAlignment="1">
      <alignment horizontal="center"/>
    </xf>
    <xf numFmtId="44" fontId="26" fillId="0" borderId="1" xfId="1" applyFont="1" applyFill="1" applyBorder="1"/>
    <xf numFmtId="44" fontId="33" fillId="0" borderId="1" xfId="1" applyFont="1" applyBorder="1" applyAlignment="1">
      <alignment horizontal="center" wrapText="1"/>
    </xf>
    <xf numFmtId="3" fontId="28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right"/>
    </xf>
    <xf numFmtId="44" fontId="30" fillId="0" borderId="0" xfId="1" applyFont="1" applyFill="1"/>
    <xf numFmtId="0" fontId="18" fillId="0" borderId="0" xfId="0" applyFont="1"/>
    <xf numFmtId="44" fontId="30" fillId="0" borderId="1" xfId="1" applyFont="1" applyFill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44" fontId="27" fillId="0" borderId="4" xfId="1" applyFont="1" applyFill="1" applyBorder="1" applyAlignment="1">
      <alignment horizontal="center" wrapText="1"/>
    </xf>
    <xf numFmtId="44" fontId="27" fillId="0" borderId="1" xfId="1" applyFont="1" applyFill="1" applyBorder="1" applyAlignment="1">
      <alignment horizontal="center" wrapText="1"/>
    </xf>
    <xf numFmtId="3" fontId="28" fillId="0" borderId="1" xfId="0" applyNumberFormat="1" applyFont="1" applyBorder="1" applyAlignment="1">
      <alignment horizontal="center"/>
    </xf>
    <xf numFmtId="44" fontId="30" fillId="0" borderId="1" xfId="1" applyFont="1" applyFill="1" applyBorder="1" applyAlignment="1">
      <alignment horizontal="center"/>
    </xf>
    <xf numFmtId="44" fontId="30" fillId="0" borderId="4" xfId="1" applyFont="1" applyFill="1" applyBorder="1" applyAlignment="1">
      <alignment horizontal="center"/>
    </xf>
    <xf numFmtId="44" fontId="28" fillId="0" borderId="4" xfId="1" applyFont="1" applyFill="1" applyBorder="1" applyAlignment="1"/>
    <xf numFmtId="44" fontId="26" fillId="0" borderId="1" xfId="1" applyFont="1" applyFill="1" applyBorder="1" applyAlignment="1">
      <alignment horizontal="center"/>
    </xf>
    <xf numFmtId="44" fontId="27" fillId="0" borderId="4" xfId="1" applyFont="1" applyFill="1" applyBorder="1"/>
    <xf numFmtId="44" fontId="27" fillId="0" borderId="4" xfId="1" applyFont="1" applyFill="1" applyBorder="1" applyAlignment="1">
      <alignment horizontal="center"/>
    </xf>
    <xf numFmtId="0" fontId="18" fillId="0" borderId="1" xfId="0" applyFont="1" applyBorder="1"/>
    <xf numFmtId="44" fontId="30" fillId="0" borderId="12" xfId="1" applyFont="1" applyFill="1" applyBorder="1"/>
    <xf numFmtId="3" fontId="17" fillId="0" borderId="1" xfId="0" applyNumberFormat="1" applyFont="1" applyBorder="1" applyAlignment="1">
      <alignment horizontal="center"/>
    </xf>
    <xf numFmtId="3" fontId="17" fillId="0" borderId="1" xfId="0" applyNumberFormat="1" applyFont="1" applyBorder="1"/>
    <xf numFmtId="44" fontId="18" fillId="0" borderId="1" xfId="1" applyFont="1" applyFill="1" applyBorder="1"/>
    <xf numFmtId="44" fontId="18" fillId="0" borderId="1" xfId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/>
    <xf numFmtId="44" fontId="18" fillId="0" borderId="0" xfId="1" applyFont="1" applyFill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44" fontId="0" fillId="0" borderId="1" xfId="1" applyFont="1" applyFill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44" fontId="2" fillId="0" borderId="4" xfId="1" applyFont="1" applyFill="1" applyBorder="1" applyAlignment="1">
      <alignment horizontal="center" wrapText="1"/>
    </xf>
    <xf numFmtId="44" fontId="2" fillId="0" borderId="4" xfId="1" applyFont="1" applyFill="1" applyBorder="1" applyAlignment="1">
      <alignment horizontal="center"/>
    </xf>
    <xf numFmtId="3" fontId="28" fillId="0" borderId="1" xfId="0" applyNumberFormat="1" applyFont="1" applyBorder="1" applyAlignment="1">
      <alignment horizontal="center" vertical="top"/>
    </xf>
    <xf numFmtId="44" fontId="0" fillId="0" borderId="1" xfId="1" applyFont="1" applyFill="1" applyBorder="1" applyAlignment="1"/>
    <xf numFmtId="44" fontId="30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right"/>
    </xf>
    <xf numFmtId="3" fontId="12" fillId="0" borderId="6" xfId="0" applyNumberFormat="1" applyFont="1" applyBorder="1" applyAlignment="1">
      <alignment horizontal="center"/>
    </xf>
    <xf numFmtId="44" fontId="0" fillId="0" borderId="6" xfId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8" fillId="0" borderId="1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44" fontId="8" fillId="0" borderId="2" xfId="1" applyFont="1" applyFill="1" applyBorder="1"/>
    <xf numFmtId="44" fontId="0" fillId="0" borderId="9" xfId="1" applyFont="1" applyFill="1" applyBorder="1"/>
    <xf numFmtId="44" fontId="0" fillId="0" borderId="2" xfId="1" applyFont="1" applyFill="1" applyBorder="1" applyAlignment="1">
      <alignment horizontal="center"/>
    </xf>
    <xf numFmtId="44" fontId="0" fillId="0" borderId="2" xfId="1" applyFont="1" applyFill="1" applyBorder="1"/>
    <xf numFmtId="170" fontId="0" fillId="0" borderId="1" xfId="0" applyNumberFormat="1" applyBorder="1"/>
    <xf numFmtId="44" fontId="8" fillId="0" borderId="8" xfId="1" applyFont="1" applyFill="1" applyBorder="1"/>
    <xf numFmtId="44" fontId="8" fillId="0" borderId="1" xfId="1" applyFont="1" applyFill="1" applyBorder="1" applyAlignment="1"/>
    <xf numFmtId="44" fontId="8" fillId="0" borderId="4" xfId="1" applyFont="1" applyFill="1" applyBorder="1" applyAlignment="1"/>
    <xf numFmtId="44" fontId="12" fillId="0" borderId="8" xfId="1" applyFont="1" applyFill="1" applyBorder="1" applyAlignment="1"/>
    <xf numFmtId="44" fontId="0" fillId="0" borderId="0" xfId="1" applyFont="1" applyFill="1" applyBorder="1"/>
    <xf numFmtId="3" fontId="8" fillId="0" borderId="0" xfId="0" applyNumberFormat="1" applyFont="1" applyAlignment="1">
      <alignment horizontal="center" vertical="top"/>
    </xf>
    <xf numFmtId="44" fontId="8" fillId="0" borderId="0" xfId="1" applyFont="1" applyFill="1" applyBorder="1"/>
    <xf numFmtId="3" fontId="28" fillId="0" borderId="2" xfId="0" applyNumberFormat="1" applyFont="1" applyBorder="1" applyAlignment="1">
      <alignment horizontal="left"/>
    </xf>
    <xf numFmtId="3" fontId="26" fillId="0" borderId="2" xfId="0" applyNumberFormat="1" applyFont="1" applyBorder="1" applyAlignment="1">
      <alignment horizontal="right"/>
    </xf>
    <xf numFmtId="44" fontId="28" fillId="0" borderId="1" xfId="3" applyNumberFormat="1" applyFont="1" applyBorder="1"/>
    <xf numFmtId="3" fontId="4" fillId="0" borderId="0" xfId="0" applyNumberFormat="1" applyFont="1" applyAlignment="1">
      <alignment horizontal="left" vertical="top"/>
    </xf>
    <xf numFmtId="3" fontId="8" fillId="0" borderId="1" xfId="0" applyNumberFormat="1" applyFont="1" applyBorder="1" applyAlignment="1">
      <alignment horizontal="left"/>
    </xf>
    <xf numFmtId="44" fontId="0" fillId="0" borderId="1" xfId="1" applyFont="1" applyFill="1" applyBorder="1" applyAlignment="1">
      <alignment horizontal="right"/>
    </xf>
    <xf numFmtId="44" fontId="8" fillId="0" borderId="1" xfId="0" applyNumberFormat="1" applyFont="1" applyBorder="1"/>
    <xf numFmtId="44" fontId="0" fillId="0" borderId="4" xfId="1" applyFont="1" applyFill="1" applyBorder="1" applyAlignment="1">
      <alignment horizontal="right"/>
    </xf>
    <xf numFmtId="3" fontId="8" fillId="0" borderId="1" xfId="0" applyNumberFormat="1" applyFont="1" applyBorder="1" applyAlignment="1">
      <alignment wrapText="1"/>
    </xf>
    <xf numFmtId="44" fontId="0" fillId="0" borderId="0" xfId="1" applyFont="1" applyFill="1" applyAlignment="1">
      <alignment horizontal="right"/>
    </xf>
    <xf numFmtId="3" fontId="3" fillId="0" borderId="0" xfId="8" applyAlignment="1">
      <alignment horizontal="left"/>
    </xf>
    <xf numFmtId="3" fontId="3" fillId="0" borderId="0" xfId="8"/>
    <xf numFmtId="3" fontId="26" fillId="0" borderId="1" xfId="8" applyFont="1" applyBorder="1" applyAlignment="1">
      <alignment horizontal="left"/>
    </xf>
    <xf numFmtId="3" fontId="26" fillId="0" borderId="1" xfId="8" applyFont="1" applyBorder="1" applyAlignment="1">
      <alignment horizontal="center"/>
    </xf>
    <xf numFmtId="44" fontId="1" fillId="0" borderId="1" xfId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33" fillId="0" borderId="1" xfId="1" applyFont="1" applyFill="1" applyBorder="1" applyAlignment="1">
      <alignment horizontal="center" wrapText="1"/>
    </xf>
    <xf numFmtId="3" fontId="28" fillId="0" borderId="1" xfId="8" applyFont="1" applyBorder="1" applyAlignment="1">
      <alignment horizontal="left"/>
    </xf>
    <xf numFmtId="3" fontId="28" fillId="0" borderId="1" xfId="8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1" fillId="0" borderId="1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0" xfId="1" applyFont="1" applyFill="1"/>
    <xf numFmtId="3" fontId="26" fillId="0" borderId="1" xfId="8" applyFont="1" applyBorder="1"/>
    <xf numFmtId="169" fontId="1" fillId="0" borderId="0" xfId="0" applyNumberFormat="1" applyFont="1"/>
    <xf numFmtId="169" fontId="1" fillId="0" borderId="1" xfId="1" applyNumberFormat="1" applyFont="1" applyFill="1" applyBorder="1" applyAlignment="1">
      <alignment horizontal="right"/>
    </xf>
    <xf numFmtId="3" fontId="4" fillId="0" borderId="0" xfId="8" applyFont="1" applyAlignment="1">
      <alignment horizontal="left"/>
    </xf>
    <xf numFmtId="3" fontId="4" fillId="0" borderId="0" xfId="8" applyFont="1"/>
    <xf numFmtId="2" fontId="8" fillId="0" borderId="0" xfId="0" applyNumberFormat="1" applyFont="1" applyAlignment="1">
      <alignment horizontal="left" vertical="top"/>
    </xf>
    <xf numFmtId="2" fontId="12" fillId="0" borderId="1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169" fontId="0" fillId="0" borderId="1" xfId="1" applyNumberFormat="1" applyFont="1" applyFill="1" applyBorder="1" applyAlignment="1">
      <alignment horizontal="right"/>
    </xf>
    <xf numFmtId="169" fontId="0" fillId="0" borderId="0" xfId="0" applyNumberFormat="1"/>
    <xf numFmtId="0" fontId="7" fillId="0" borderId="1" xfId="0" applyFont="1" applyBorder="1" applyAlignment="1">
      <alignment horizontal="center" wrapText="1"/>
    </xf>
    <xf numFmtId="44" fontId="7" fillId="0" borderId="1" xfId="1" applyFont="1" applyFill="1" applyBorder="1" applyAlignment="1">
      <alignment horizontal="center" wrapText="1"/>
    </xf>
    <xf numFmtId="44" fontId="7" fillId="0" borderId="4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28" fillId="0" borderId="0" xfId="0" applyNumberFormat="1" applyFont="1" applyAlignment="1">
      <alignment horizontal="left"/>
    </xf>
    <xf numFmtId="0" fontId="28" fillId="0" borderId="1" xfId="0" applyFont="1" applyBorder="1" applyAlignment="1">
      <alignment horizontal="center" wrapText="1"/>
    </xf>
    <xf numFmtId="44" fontId="28" fillId="0" borderId="1" xfId="1" applyFont="1" applyFill="1" applyBorder="1" applyAlignment="1">
      <alignment wrapText="1"/>
    </xf>
    <xf numFmtId="3" fontId="28" fillId="0" borderId="1" xfId="3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30" fillId="0" borderId="4" xfId="0" applyFont="1" applyBorder="1"/>
    <xf numFmtId="44" fontId="30" fillId="0" borderId="4" xfId="0" applyNumberFormat="1" applyFont="1" applyBorder="1"/>
    <xf numFmtId="3" fontId="28" fillId="0" borderId="1" xfId="0" applyNumberFormat="1" applyFont="1" applyBorder="1" applyAlignment="1">
      <alignment wrapText="1"/>
    </xf>
    <xf numFmtId="44" fontId="26" fillId="0" borderId="1" xfId="1" applyFont="1" applyFill="1" applyBorder="1" applyAlignment="1"/>
    <xf numFmtId="44" fontId="26" fillId="0" borderId="1" xfId="4" applyFont="1" applyBorder="1"/>
    <xf numFmtId="44" fontId="27" fillId="0" borderId="1" xfId="1" applyFont="1" applyFill="1" applyBorder="1"/>
    <xf numFmtId="3" fontId="26" fillId="0" borderId="0" xfId="0" applyNumberFormat="1" applyFont="1" applyAlignment="1">
      <alignment horizontal="left" vertical="top"/>
    </xf>
    <xf numFmtId="44" fontId="28" fillId="0" borderId="0" xfId="1" applyFont="1" applyFill="1" applyAlignment="1"/>
    <xf numFmtId="3" fontId="28" fillId="0" borderId="0" xfId="3" applyFont="1"/>
    <xf numFmtId="44" fontId="26" fillId="0" borderId="0" xfId="1" applyFont="1" applyFill="1" applyBorder="1"/>
    <xf numFmtId="44" fontId="26" fillId="0" borderId="0" xfId="1" applyFont="1" applyFill="1" applyAlignment="1"/>
    <xf numFmtId="7" fontId="28" fillId="0" borderId="0" xfId="1" applyNumberFormat="1" applyFont="1" applyFill="1" applyAlignment="1"/>
    <xf numFmtId="44" fontId="34" fillId="0" borderId="1" xfId="1" applyFont="1" applyBorder="1"/>
    <xf numFmtId="166" fontId="2" fillId="0" borderId="4" xfId="0" applyNumberFormat="1" applyFont="1" applyBorder="1"/>
    <xf numFmtId="44" fontId="15" fillId="0" borderId="4" xfId="1" applyFont="1" applyBorder="1" applyAlignment="1">
      <alignment horizontal="center"/>
    </xf>
    <xf numFmtId="169" fontId="0" fillId="0" borderId="4" xfId="0" applyNumberFormat="1" applyBorder="1"/>
    <xf numFmtId="166" fontId="0" fillId="0" borderId="4" xfId="0" applyNumberFormat="1" applyBorder="1"/>
    <xf numFmtId="44" fontId="0" fillId="0" borderId="4" xfId="0" applyNumberFormat="1" applyBorder="1"/>
    <xf numFmtId="0" fontId="0" fillId="0" borderId="1" xfId="0" applyBorder="1" applyAlignment="1">
      <alignment horizontal="right"/>
    </xf>
    <xf numFmtId="166" fontId="16" fillId="0" borderId="1" xfId="0" applyNumberFormat="1" applyFont="1" applyBorder="1"/>
    <xf numFmtId="44" fontId="30" fillId="4" borderId="1" xfId="1" applyFont="1" applyFill="1" applyBorder="1"/>
    <xf numFmtId="44" fontId="30" fillId="4" borderId="1" xfId="1" applyFont="1" applyFill="1" applyBorder="1" applyAlignment="1">
      <alignment horizont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170" fontId="0" fillId="0" borderId="4" xfId="1" applyNumberFormat="1" applyFont="1" applyBorder="1"/>
    <xf numFmtId="170" fontId="0" fillId="0" borderId="4" xfId="1" applyNumberFormat="1" applyFont="1" applyFill="1" applyBorder="1"/>
    <xf numFmtId="170" fontId="30" fillId="0" borderId="1" xfId="1" applyNumberFormat="1" applyFont="1" applyFill="1" applyBorder="1"/>
    <xf numFmtId="170" fontId="0" fillId="0" borderId="1" xfId="1" applyNumberFormat="1" applyFont="1" applyBorder="1" applyAlignment="1">
      <alignment horizontal="right"/>
    </xf>
    <xf numFmtId="170" fontId="0" fillId="0" borderId="1" xfId="1" applyNumberFormat="1" applyFont="1" applyFill="1" applyBorder="1" applyAlignment="1">
      <alignment horizontal="right"/>
    </xf>
    <xf numFmtId="170" fontId="0" fillId="0" borderId="1" xfId="0" applyNumberFormat="1" applyBorder="1" applyAlignment="1">
      <alignment horizontal="right"/>
    </xf>
    <xf numFmtId="170" fontId="1" fillId="0" borderId="1" xfId="1" applyNumberFormat="1" applyFont="1" applyBorder="1" applyAlignment="1">
      <alignment horizontal="right"/>
    </xf>
    <xf numFmtId="170" fontId="1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44" fontId="13" fillId="0" borderId="1" xfId="1" applyFont="1" applyBorder="1" applyAlignment="1">
      <alignment vertical="center"/>
    </xf>
    <xf numFmtId="44" fontId="30" fillId="0" borderId="1" xfId="1" applyFont="1" applyBorder="1" applyAlignment="1">
      <alignment vertical="center"/>
    </xf>
    <xf numFmtId="44" fontId="14" fillId="0" borderId="1" xfId="1" applyFont="1" applyBorder="1" applyAlignment="1"/>
    <xf numFmtId="44" fontId="33" fillId="0" borderId="0" xfId="1" applyFont="1" applyBorder="1" applyAlignment="1">
      <alignment vertical="center" wrapText="1"/>
    </xf>
    <xf numFmtId="0" fontId="30" fillId="0" borderId="0" xfId="0" applyFont="1" applyAlignment="1">
      <alignment vertical="center"/>
    </xf>
    <xf numFmtId="44" fontId="13" fillId="0" borderId="0" xfId="1" applyFont="1" applyBorder="1" applyAlignment="1"/>
    <xf numFmtId="44" fontId="30" fillId="0" borderId="0" xfId="1" applyFont="1" applyBorder="1" applyAlignment="1">
      <alignment vertical="center"/>
    </xf>
    <xf numFmtId="44" fontId="14" fillId="0" borderId="0" xfId="1" applyFont="1" applyBorder="1" applyAlignment="1"/>
    <xf numFmtId="0" fontId="30" fillId="0" borderId="1" xfId="0" applyFont="1" applyBorder="1" applyAlignment="1">
      <alignment horizontal="center" wrapText="1"/>
    </xf>
    <xf numFmtId="44" fontId="1" fillId="0" borderId="0" xfId="1" applyFont="1"/>
    <xf numFmtId="44" fontId="1" fillId="0" borderId="4" xfId="1" applyFont="1" applyBorder="1" applyAlignment="1">
      <alignment horizontal="center" wrapText="1"/>
    </xf>
    <xf numFmtId="44" fontId="18" fillId="0" borderId="1" xfId="1" applyFont="1" applyBorder="1" applyAlignment="1">
      <alignment horizontal="center" wrapText="1"/>
    </xf>
    <xf numFmtId="4" fontId="1" fillId="0" borderId="1" xfId="1" applyNumberFormat="1" applyFont="1" applyFill="1" applyBorder="1"/>
    <xf numFmtId="170" fontId="2" fillId="0" borderId="1" xfId="0" applyNumberFormat="1" applyFont="1" applyBorder="1"/>
    <xf numFmtId="44" fontId="31" fillId="0" borderId="4" xfId="1" applyFont="1" applyFill="1" applyBorder="1" applyAlignment="1">
      <alignment horizontal="center"/>
    </xf>
    <xf numFmtId="44" fontId="31" fillId="0" borderId="4" xfId="1" applyFont="1" applyFill="1" applyBorder="1"/>
    <xf numFmtId="44" fontId="35" fillId="0" borderId="4" xfId="1" applyFont="1" applyBorder="1" applyAlignment="1">
      <alignment horizontal="center" wrapText="1"/>
    </xf>
    <xf numFmtId="44" fontId="31" fillId="0" borderId="1" xfId="1" applyFont="1" applyBorder="1"/>
    <xf numFmtId="44" fontId="31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2" fillId="0" borderId="1" xfId="1" applyFont="1" applyFill="1" applyBorder="1" applyAlignment="1">
      <alignment horizontal="right" wrapText="1"/>
    </xf>
    <xf numFmtId="44" fontId="0" fillId="0" borderId="0" xfId="1" applyFont="1" applyAlignment="1">
      <alignment horizontal="right"/>
    </xf>
    <xf numFmtId="0" fontId="2" fillId="0" borderId="0" xfId="0" applyFont="1" applyAlignment="1">
      <alignment horizontal="center" wrapText="1"/>
    </xf>
    <xf numFmtId="44" fontId="18" fillId="0" borderId="1" xfId="1" applyFont="1" applyBorder="1"/>
    <xf numFmtId="44" fontId="18" fillId="0" borderId="0" xfId="1" applyFont="1"/>
    <xf numFmtId="44" fontId="1" fillId="0" borderId="0" xfId="0" applyNumberFormat="1" applyFont="1"/>
    <xf numFmtId="0" fontId="0" fillId="0" borderId="0" xfId="0" applyAlignment="1">
      <alignment horizontal="right"/>
    </xf>
    <xf numFmtId="44" fontId="31" fillId="0" borderId="1" xfId="1" applyFont="1" applyFill="1" applyBorder="1" applyAlignment="1">
      <alignment horizontal="right"/>
    </xf>
    <xf numFmtId="44" fontId="0" fillId="2" borderId="0" xfId="1" applyFont="1" applyFill="1"/>
    <xf numFmtId="44" fontId="0" fillId="2" borderId="1" xfId="1" applyFont="1" applyFill="1" applyBorder="1"/>
    <xf numFmtId="169" fontId="30" fillId="0" borderId="4" xfId="1" applyNumberFormat="1" applyFont="1" applyFill="1" applyBorder="1"/>
    <xf numFmtId="44" fontId="1" fillId="2" borderId="1" xfId="1" applyFont="1" applyFill="1" applyBorder="1"/>
    <xf numFmtId="44" fontId="35" fillId="0" borderId="4" xfId="1" applyFont="1" applyBorder="1" applyAlignment="1">
      <alignment horizontal="right" wrapText="1"/>
    </xf>
    <xf numFmtId="44" fontId="31" fillId="0" borderId="4" xfId="1" applyFont="1" applyFill="1" applyBorder="1" applyAlignment="1">
      <alignment horizontal="right"/>
    </xf>
    <xf numFmtId="3" fontId="3" fillId="0" borderId="1" xfId="16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4" fontId="0" fillId="0" borderId="0" xfId="1" applyFont="1" applyAlignment="1"/>
    <xf numFmtId="44" fontId="31" fillId="0" borderId="0" xfId="1" applyFont="1" applyBorder="1" applyAlignment="1">
      <alignment horizontal="right"/>
    </xf>
    <xf numFmtId="166" fontId="35" fillId="0" borderId="0" xfId="1" applyNumberFormat="1" applyFont="1" applyBorder="1" applyAlignment="1">
      <alignment horizontal="right"/>
    </xf>
    <xf numFmtId="44" fontId="31" fillId="0" borderId="1" xfId="1" applyFont="1" applyBorder="1" applyAlignment="1">
      <alignment horizontal="right" wrapText="1"/>
    </xf>
    <xf numFmtId="44" fontId="35" fillId="0" borderId="1" xfId="1" applyFont="1" applyBorder="1"/>
    <xf numFmtId="44" fontId="36" fillId="0" borderId="1" xfId="1" applyFont="1" applyFill="1" applyBorder="1"/>
    <xf numFmtId="165" fontId="15" fillId="0" borderId="1" xfId="0" applyNumberFormat="1" applyFont="1" applyBorder="1"/>
    <xf numFmtId="44" fontId="37" fillId="0" borderId="1" xfId="1" applyFont="1" applyBorder="1"/>
    <xf numFmtId="164" fontId="2" fillId="0" borderId="1" xfId="0" applyNumberFormat="1" applyFont="1" applyBorder="1"/>
    <xf numFmtId="165" fontId="2" fillId="0" borderId="1" xfId="1" applyNumberFormat="1" applyFont="1" applyFill="1" applyBorder="1"/>
    <xf numFmtId="44" fontId="19" fillId="0" borderId="1" xfId="1" applyFont="1" applyFill="1" applyBorder="1"/>
    <xf numFmtId="44" fontId="0" fillId="2" borderId="1" xfId="1" applyFont="1" applyFill="1" applyBorder="1" applyAlignment="1">
      <alignment horizontal="center"/>
    </xf>
    <xf numFmtId="3" fontId="28" fillId="0" borderId="1" xfId="15" applyFont="1" applyBorder="1" applyAlignment="1">
      <alignment horizontal="left" vertical="center" wrapText="1"/>
    </xf>
    <xf numFmtId="44" fontId="10" fillId="0" borderId="4" xfId="1" applyFont="1" applyFill="1" applyBorder="1"/>
    <xf numFmtId="44" fontId="10" fillId="0" borderId="4" xfId="1" applyFont="1" applyFill="1" applyBorder="1" applyAlignment="1">
      <alignment horizontal="center"/>
    </xf>
    <xf numFmtId="44" fontId="10" fillId="0" borderId="1" xfId="1" applyFont="1" applyFill="1" applyBorder="1" applyAlignment="1">
      <alignment horizontal="center"/>
    </xf>
    <xf numFmtId="44" fontId="33" fillId="0" borderId="4" xfId="1" applyFont="1" applyBorder="1" applyAlignment="1">
      <alignment horizontal="center" vertical="center" wrapText="1"/>
    </xf>
    <xf numFmtId="44" fontId="30" fillId="0" borderId="4" xfId="1" applyFont="1" applyBorder="1"/>
    <xf numFmtId="44" fontId="27" fillId="0" borderId="4" xfId="1" applyFont="1" applyBorder="1"/>
    <xf numFmtId="164" fontId="15" fillId="0" borderId="0" xfId="0" applyNumberFormat="1" applyFont="1"/>
    <xf numFmtId="168" fontId="15" fillId="0" borderId="0" xfId="0" applyNumberFormat="1" applyFont="1"/>
    <xf numFmtId="44" fontId="2" fillId="0" borderId="0" xfId="1" applyFont="1" applyBorder="1"/>
    <xf numFmtId="166" fontId="28" fillId="0" borderId="1" xfId="0" applyNumberFormat="1" applyFont="1" applyBorder="1" applyAlignment="1">
      <alignment horizontal="right"/>
    </xf>
    <xf numFmtId="169" fontId="31" fillId="0" borderId="4" xfId="0" applyNumberFormat="1" applyFont="1" applyBorder="1"/>
    <xf numFmtId="0" fontId="31" fillId="0" borderId="4" xfId="0" applyFont="1" applyBorder="1" applyAlignment="1">
      <alignment horizontal="right"/>
    </xf>
    <xf numFmtId="166" fontId="31" fillId="0" borderId="4" xfId="0" applyNumberFormat="1" applyFont="1" applyBorder="1" applyAlignment="1">
      <alignment horizontal="right"/>
    </xf>
    <xf numFmtId="44" fontId="31" fillId="0" borderId="1" xfId="1" applyFont="1" applyFill="1" applyBorder="1" applyAlignment="1">
      <alignment horizontal="right" wrapText="1"/>
    </xf>
    <xf numFmtId="44" fontId="35" fillId="0" borderId="4" xfId="1" applyFont="1" applyFill="1" applyBorder="1" applyAlignment="1">
      <alignment horizontal="center"/>
    </xf>
    <xf numFmtId="44" fontId="35" fillId="0" borderId="4" xfId="1" applyFont="1" applyFill="1" applyBorder="1" applyAlignment="1">
      <alignment horizontal="right"/>
    </xf>
    <xf numFmtId="44" fontId="35" fillId="0" borderId="1" xfId="1" applyFont="1" applyFill="1" applyBorder="1" applyAlignment="1">
      <alignment horizontal="right"/>
    </xf>
    <xf numFmtId="166" fontId="35" fillId="0" borderId="4" xfId="1" applyNumberFormat="1" applyFont="1" applyFill="1" applyBorder="1" applyAlignment="1">
      <alignment horizontal="center"/>
    </xf>
    <xf numFmtId="166" fontId="35" fillId="0" borderId="4" xfId="1" applyNumberFormat="1" applyFont="1" applyFill="1" applyBorder="1" applyAlignment="1">
      <alignment horizontal="right"/>
    </xf>
    <xf numFmtId="44" fontId="2" fillId="0" borderId="0" xfId="1" applyFont="1" applyFill="1" applyBorder="1" applyAlignment="1">
      <alignment horizontal="center"/>
    </xf>
    <xf numFmtId="44" fontId="2" fillId="2" borderId="1" xfId="1" applyFont="1" applyFill="1" applyBorder="1"/>
    <xf numFmtId="3" fontId="38" fillId="0" borderId="0" xfId="3" applyFont="1"/>
    <xf numFmtId="44" fontId="39" fillId="0" borderId="0" xfId="1" applyFont="1" applyFill="1" applyAlignment="1">
      <alignment horizontal="right"/>
    </xf>
    <xf numFmtId="0" fontId="39" fillId="0" borderId="0" xfId="0" applyFont="1"/>
    <xf numFmtId="44" fontId="39" fillId="0" borderId="0" xfId="1" applyFont="1" applyFill="1"/>
    <xf numFmtId="3" fontId="38" fillId="0" borderId="1" xfId="3" applyFont="1" applyBorder="1"/>
    <xf numFmtId="44" fontId="39" fillId="0" borderId="1" xfId="1" applyFont="1" applyFill="1" applyBorder="1" applyAlignment="1">
      <alignment horizontal="center" wrapText="1"/>
    </xf>
    <xf numFmtId="0" fontId="39" fillId="0" borderId="1" xfId="0" applyFont="1" applyBorder="1"/>
    <xf numFmtId="44" fontId="39" fillId="0" borderId="1" xfId="1" applyFont="1" applyFill="1" applyBorder="1" applyAlignment="1">
      <alignment horizontal="right"/>
    </xf>
    <xf numFmtId="3" fontId="40" fillId="0" borderId="1" xfId="3" applyFont="1" applyBorder="1"/>
    <xf numFmtId="166" fontId="40" fillId="0" borderId="1" xfId="3" applyNumberFormat="1" applyFont="1" applyBorder="1"/>
    <xf numFmtId="44" fontId="39" fillId="0" borderId="1" xfId="1" applyFont="1" applyFill="1" applyBorder="1" applyAlignment="1">
      <alignment vertical="center"/>
    </xf>
    <xf numFmtId="44" fontId="39" fillId="0" borderId="1" xfId="1" applyFont="1" applyFill="1" applyBorder="1" applyAlignment="1">
      <alignment horizontal="center"/>
    </xf>
    <xf numFmtId="44" fontId="39" fillId="0" borderId="1" xfId="1" applyFont="1" applyFill="1" applyBorder="1"/>
    <xf numFmtId="44" fontId="41" fillId="0" borderId="1" xfId="1" applyFont="1" applyFill="1" applyBorder="1"/>
    <xf numFmtId="44" fontId="39" fillId="0" borderId="1" xfId="1" applyFont="1" applyBorder="1"/>
    <xf numFmtId="166" fontId="39" fillId="0" borderId="1" xfId="0" applyNumberFormat="1" applyFont="1" applyBorder="1"/>
    <xf numFmtId="44" fontId="38" fillId="0" borderId="1" xfId="4" applyFont="1" applyBorder="1"/>
    <xf numFmtId="44" fontId="42" fillId="0" borderId="1" xfId="1" applyFont="1" applyFill="1" applyBorder="1" applyAlignment="1"/>
    <xf numFmtId="44" fontId="39" fillId="0" borderId="4" xfId="1" applyFont="1" applyFill="1" applyBorder="1"/>
    <xf numFmtId="3" fontId="38" fillId="0" borderId="4" xfId="3" applyFont="1" applyBorder="1" applyAlignment="1">
      <alignment horizontal="right"/>
    </xf>
    <xf numFmtId="3" fontId="38" fillId="0" borderId="4" xfId="3" applyFont="1" applyBorder="1"/>
    <xf numFmtId="3" fontId="38" fillId="0" borderId="1" xfId="3" applyFont="1" applyBorder="1" applyAlignment="1">
      <alignment horizontal="left" vertical="top"/>
    </xf>
    <xf numFmtId="3" fontId="38" fillId="0" borderId="4" xfId="3" applyFont="1" applyBorder="1" applyAlignment="1">
      <alignment horizontal="left" vertical="top"/>
    </xf>
    <xf numFmtId="44" fontId="38" fillId="0" borderId="1" xfId="4" applyFont="1" applyBorder="1" applyAlignment="1">
      <alignment horizontal="left"/>
    </xf>
    <xf numFmtId="44" fontId="38" fillId="0" borderId="1" xfId="4" applyFont="1" applyBorder="1" applyAlignment="1">
      <alignment horizontal="right"/>
    </xf>
    <xf numFmtId="44" fontId="38" fillId="0" borderId="1" xfId="1" applyFont="1" applyFill="1" applyBorder="1" applyAlignment="1"/>
    <xf numFmtId="3" fontId="38" fillId="0" borderId="1" xfId="3" applyFont="1" applyBorder="1" applyAlignment="1">
      <alignment horizontal="center"/>
    </xf>
    <xf numFmtId="44" fontId="39" fillId="0" borderId="4" xfId="1" applyFont="1" applyFill="1" applyBorder="1" applyAlignment="1">
      <alignment horizontal="right"/>
    </xf>
    <xf numFmtId="3" fontId="38" fillId="0" borderId="1" xfId="3" applyFont="1" applyBorder="1" applyAlignment="1">
      <alignment horizontal="right"/>
    </xf>
    <xf numFmtId="44" fontId="38" fillId="0" borderId="1" xfId="1" applyFont="1" applyFill="1" applyBorder="1" applyAlignment="1" applyProtection="1"/>
    <xf numFmtId="44" fontId="38" fillId="0" borderId="4" xfId="1" applyFont="1" applyFill="1" applyBorder="1" applyAlignment="1" applyProtection="1"/>
    <xf numFmtId="44" fontId="39" fillId="0" borderId="1" xfId="0" applyNumberFormat="1" applyFont="1" applyBorder="1"/>
    <xf numFmtId="44" fontId="38" fillId="0" borderId="4" xfId="1" applyFont="1" applyFill="1" applyBorder="1" applyAlignment="1"/>
    <xf numFmtId="44" fontId="39" fillId="0" borderId="0" xfId="0" applyNumberFormat="1" applyFont="1"/>
    <xf numFmtId="0" fontId="39" fillId="0" borderId="1" xfId="0" applyFont="1" applyBorder="1" applyAlignment="1">
      <alignment horizontal="center" wrapText="1"/>
    </xf>
    <xf numFmtId="3" fontId="12" fillId="0" borderId="4" xfId="3" applyFont="1" applyBorder="1" applyAlignment="1">
      <alignment horizontal="center" wrapText="1"/>
    </xf>
    <xf numFmtId="44" fontId="33" fillId="0" borderId="1" xfId="1" applyFont="1" applyBorder="1" applyAlignment="1"/>
    <xf numFmtId="44" fontId="33" fillId="0" borderId="1" xfId="1" applyFont="1" applyBorder="1" applyAlignment="1">
      <alignment horizontal="center" vertical="center" wrapText="1"/>
    </xf>
    <xf numFmtId="3" fontId="8" fillId="0" borderId="0" xfId="7" applyFont="1" applyAlignment="1">
      <alignment horizontal="left"/>
    </xf>
    <xf numFmtId="3" fontId="8" fillId="0" borderId="0" xfId="7" applyFont="1"/>
    <xf numFmtId="0" fontId="8" fillId="0" borderId="0" xfId="0" applyFont="1"/>
    <xf numFmtId="44" fontId="1" fillId="0" borderId="0" xfId="1" applyFont="1" applyAlignment="1">
      <alignment wrapText="1"/>
    </xf>
    <xf numFmtId="44" fontId="1" fillId="0" borderId="6" xfId="1" applyFont="1" applyBorder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4" fontId="20" fillId="0" borderId="1" xfId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70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right"/>
    </xf>
    <xf numFmtId="166" fontId="1" fillId="0" borderId="1" xfId="1" applyNumberFormat="1" applyFont="1" applyBorder="1" applyAlignment="1">
      <alignment horizontal="right" vertical="top"/>
    </xf>
    <xf numFmtId="166" fontId="1" fillId="0" borderId="0" xfId="1" applyNumberFormat="1" applyFont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 applyAlignment="1">
      <alignment horizontal="right"/>
    </xf>
    <xf numFmtId="44" fontId="10" fillId="0" borderId="1" xfId="1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44" fontId="15" fillId="0" borderId="1" xfId="1" applyFont="1" applyFill="1" applyBorder="1" applyAlignment="1">
      <alignment horizontal="center" wrapText="1"/>
    </xf>
    <xf numFmtId="3" fontId="7" fillId="0" borderId="1" xfId="11" applyFont="1" applyBorder="1" applyAlignment="1">
      <alignment horizontal="center"/>
    </xf>
    <xf numFmtId="44" fontId="15" fillId="0" borderId="1" xfId="1" applyFont="1" applyBorder="1" applyAlignment="1">
      <alignment horizontal="center" wrapText="1"/>
    </xf>
    <xf numFmtId="44" fontId="43" fillId="0" borderId="1" xfId="1" applyFont="1" applyBorder="1" applyAlignment="1">
      <alignment horizontal="center" wrapText="1"/>
    </xf>
    <xf numFmtId="44" fontId="15" fillId="0" borderId="4" xfId="1" applyFont="1" applyBorder="1" applyAlignment="1">
      <alignment horizontal="center" wrapText="1"/>
    </xf>
  </cellXfs>
  <cellStyles count="18">
    <cellStyle name="Currency" xfId="1" builtinId="4"/>
    <cellStyle name="Currency [0]" xfId="14" builtinId="7"/>
    <cellStyle name="Currency [0] 2" xfId="5" xr:uid="{00000000-0005-0000-0000-000002000000}"/>
    <cellStyle name="Currency [0]_Sheet2" xfId="13" xr:uid="{00000000-0005-0000-0000-000003000000}"/>
    <cellStyle name="Currency 2" xfId="4" xr:uid="{00000000-0005-0000-0000-000004000000}"/>
    <cellStyle name="Normal" xfId="0" builtinId="0"/>
    <cellStyle name="Normal 2" xfId="3" xr:uid="{00000000-0005-0000-0000-000006000000}"/>
    <cellStyle name="Normal_Sheet1" xfId="11" xr:uid="{00000000-0005-0000-0000-000007000000}"/>
    <cellStyle name="Normal_Sheet10" xfId="17" xr:uid="{00000000-0005-0000-0000-000008000000}"/>
    <cellStyle name="Normal_Sheet11" xfId="10" xr:uid="{00000000-0005-0000-0000-000009000000}"/>
    <cellStyle name="Normal_Sheet2" xfId="12" xr:uid="{00000000-0005-0000-0000-00000A000000}"/>
    <cellStyle name="Normal_Sheet3" xfId="7" xr:uid="{00000000-0005-0000-0000-00000B000000}"/>
    <cellStyle name="Normal_Sheet4" xfId="8" xr:uid="{00000000-0005-0000-0000-00000C000000}"/>
    <cellStyle name="Normal_Sheet5" xfId="6" xr:uid="{00000000-0005-0000-0000-00000D000000}"/>
    <cellStyle name="Normal_Sheet7" xfId="15" xr:uid="{00000000-0005-0000-0000-00000E000000}"/>
    <cellStyle name="Normal_Sheet8" xfId="16" xr:uid="{00000000-0005-0000-0000-00000F000000}"/>
    <cellStyle name="Normal_Sheet9" xfId="9" xr:uid="{00000000-0005-0000-0000-000010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workbookViewId="0">
      <selection activeCell="L31" sqref="L31"/>
    </sheetView>
  </sheetViews>
  <sheetFormatPr defaultRowHeight="14.25" x14ac:dyDescent="0.2"/>
  <sheetData>
    <row r="1" spans="1:3" x14ac:dyDescent="0.2">
      <c r="B1" t="s">
        <v>1</v>
      </c>
    </row>
    <row r="3" spans="1:3" ht="15" x14ac:dyDescent="0.25">
      <c r="B3" s="1" t="s">
        <v>0</v>
      </c>
      <c r="C3" s="1"/>
    </row>
    <row r="4" spans="1:3" ht="15" x14ac:dyDescent="0.25">
      <c r="B4" s="1"/>
      <c r="C4" s="1"/>
    </row>
    <row r="5" spans="1:3" ht="15" x14ac:dyDescent="0.25">
      <c r="B5" s="1" t="s">
        <v>1</v>
      </c>
      <c r="C5" s="1"/>
    </row>
    <row r="6" spans="1:3" ht="15" x14ac:dyDescent="0.25">
      <c r="A6">
        <v>1</v>
      </c>
      <c r="B6" s="1" t="s">
        <v>2</v>
      </c>
      <c r="C6" s="1"/>
    </row>
    <row r="7" spans="1:3" ht="15" x14ac:dyDescent="0.25">
      <c r="A7">
        <v>2</v>
      </c>
      <c r="B7" s="1" t="s">
        <v>3</v>
      </c>
      <c r="C7" s="1"/>
    </row>
    <row r="8" spans="1:3" ht="15" x14ac:dyDescent="0.25">
      <c r="A8">
        <v>3</v>
      </c>
      <c r="B8" s="1" t="s">
        <v>4</v>
      </c>
      <c r="C8" s="1"/>
    </row>
    <row r="9" spans="1:3" ht="15" x14ac:dyDescent="0.25">
      <c r="A9">
        <v>4</v>
      </c>
      <c r="B9" s="1" t="s">
        <v>5</v>
      </c>
      <c r="C9" s="1"/>
    </row>
    <row r="10" spans="1:3" ht="15" x14ac:dyDescent="0.25">
      <c r="A10">
        <v>5</v>
      </c>
      <c r="B10" s="1" t="s">
        <v>6</v>
      </c>
      <c r="C10" s="1"/>
    </row>
    <row r="11" spans="1:3" ht="15" x14ac:dyDescent="0.25">
      <c r="A11">
        <v>6</v>
      </c>
      <c r="B11" s="1" t="s">
        <v>7</v>
      </c>
      <c r="C11" s="1"/>
    </row>
    <row r="12" spans="1:3" ht="15" x14ac:dyDescent="0.25">
      <c r="A12">
        <v>7</v>
      </c>
      <c r="B12" s="1" t="s">
        <v>8</v>
      </c>
      <c r="C12" s="1"/>
    </row>
    <row r="13" spans="1:3" ht="15" x14ac:dyDescent="0.25">
      <c r="A13">
        <v>8</v>
      </c>
      <c r="B13" s="1" t="s">
        <v>9</v>
      </c>
      <c r="C13" s="1"/>
    </row>
    <row r="14" spans="1:3" ht="15" x14ac:dyDescent="0.25">
      <c r="A14">
        <v>9</v>
      </c>
      <c r="B14" s="1" t="s">
        <v>10</v>
      </c>
      <c r="C14" s="1"/>
    </row>
    <row r="15" spans="1:3" ht="15" x14ac:dyDescent="0.25">
      <c r="A15">
        <v>10</v>
      </c>
      <c r="B15" s="1" t="s">
        <v>11</v>
      </c>
      <c r="C15" s="1"/>
    </row>
    <row r="16" spans="1:3" ht="15" x14ac:dyDescent="0.25">
      <c r="A16">
        <v>11</v>
      </c>
      <c r="B16" s="1" t="s">
        <v>12</v>
      </c>
      <c r="C16" s="1"/>
    </row>
    <row r="17" spans="1:3" ht="15" x14ac:dyDescent="0.25">
      <c r="A17">
        <v>12</v>
      </c>
      <c r="B17" s="1" t="s">
        <v>13</v>
      </c>
      <c r="C17" s="1"/>
    </row>
    <row r="18" spans="1:3" ht="15" x14ac:dyDescent="0.25">
      <c r="A18">
        <v>13</v>
      </c>
      <c r="B18" s="1" t="s">
        <v>14</v>
      </c>
      <c r="C18" s="1"/>
    </row>
    <row r="19" spans="1:3" ht="15" x14ac:dyDescent="0.25">
      <c r="A19">
        <v>14</v>
      </c>
      <c r="B19" s="1" t="s">
        <v>15</v>
      </c>
      <c r="C19" s="1"/>
    </row>
    <row r="20" spans="1:3" ht="15" x14ac:dyDescent="0.25">
      <c r="A20">
        <v>15</v>
      </c>
      <c r="B20" s="1" t="s">
        <v>16</v>
      </c>
      <c r="C20" s="1"/>
    </row>
    <row r="21" spans="1:3" ht="15" x14ac:dyDescent="0.25">
      <c r="A21">
        <v>16</v>
      </c>
      <c r="B21" s="1" t="s">
        <v>17</v>
      </c>
      <c r="C21" s="1"/>
    </row>
    <row r="22" spans="1:3" ht="15" x14ac:dyDescent="0.25">
      <c r="A22">
        <v>17</v>
      </c>
      <c r="B22" s="1" t="s">
        <v>18</v>
      </c>
      <c r="C22" s="1"/>
    </row>
    <row r="23" spans="1:3" ht="15" x14ac:dyDescent="0.25">
      <c r="A23">
        <v>18</v>
      </c>
      <c r="B23" s="1" t="s">
        <v>19</v>
      </c>
      <c r="C23" s="1"/>
    </row>
    <row r="24" spans="1:3" ht="15" x14ac:dyDescent="0.25">
      <c r="A24">
        <v>19</v>
      </c>
      <c r="B24" s="1" t="s">
        <v>20</v>
      </c>
      <c r="C24" s="1"/>
    </row>
    <row r="25" spans="1:3" ht="15" x14ac:dyDescent="0.25">
      <c r="A25">
        <v>20</v>
      </c>
      <c r="B25" s="1" t="s">
        <v>21</v>
      </c>
      <c r="C25" s="1"/>
    </row>
    <row r="26" spans="1:3" ht="15" x14ac:dyDescent="0.25">
      <c r="A26">
        <v>21</v>
      </c>
      <c r="B26" s="1" t="s">
        <v>22</v>
      </c>
      <c r="C26" s="1"/>
    </row>
    <row r="27" spans="1:3" ht="15" x14ac:dyDescent="0.25">
      <c r="A27">
        <v>22</v>
      </c>
      <c r="B27" s="1" t="s">
        <v>23</v>
      </c>
      <c r="C27" s="1"/>
    </row>
    <row r="28" spans="1:3" ht="15" x14ac:dyDescent="0.25">
      <c r="A28">
        <v>23</v>
      </c>
      <c r="B28" s="1" t="s">
        <v>24</v>
      </c>
      <c r="C28" s="1"/>
    </row>
    <row r="29" spans="1:3" ht="15" x14ac:dyDescent="0.25">
      <c r="A29">
        <v>24</v>
      </c>
      <c r="B29" s="1" t="s">
        <v>25</v>
      </c>
      <c r="C29" s="1"/>
    </row>
    <row r="30" spans="1:3" ht="15" x14ac:dyDescent="0.25">
      <c r="A30">
        <v>25</v>
      </c>
      <c r="B30" s="1" t="s">
        <v>26</v>
      </c>
      <c r="C30" s="1"/>
    </row>
    <row r="31" spans="1:3" ht="15" x14ac:dyDescent="0.25">
      <c r="A31">
        <v>26</v>
      </c>
      <c r="B31" s="1" t="s">
        <v>27</v>
      </c>
      <c r="C31" s="1"/>
    </row>
    <row r="32" spans="1:3" ht="15" hidden="1" x14ac:dyDescent="0.25">
      <c r="B32" s="1" t="s">
        <v>28</v>
      </c>
      <c r="C32" s="1"/>
    </row>
    <row r="33" spans="1:9" ht="15" x14ac:dyDescent="0.25">
      <c r="A33">
        <v>27</v>
      </c>
      <c r="B33" s="1" t="s">
        <v>29</v>
      </c>
      <c r="C33" s="1"/>
    </row>
    <row r="34" spans="1:9" ht="15" x14ac:dyDescent="0.25">
      <c r="A34">
        <v>28</v>
      </c>
      <c r="B34" s="1" t="s">
        <v>30</v>
      </c>
      <c r="C34" s="1"/>
    </row>
    <row r="35" spans="1:9" ht="15" x14ac:dyDescent="0.25">
      <c r="A35">
        <v>29</v>
      </c>
      <c r="B35" s="1" t="s">
        <v>31</v>
      </c>
      <c r="C35" s="1"/>
    </row>
    <row r="36" spans="1:9" ht="15" x14ac:dyDescent="0.25">
      <c r="A36">
        <v>30</v>
      </c>
      <c r="B36" s="1" t="s">
        <v>32</v>
      </c>
      <c r="C36" s="1"/>
    </row>
    <row r="43" spans="1:9" x14ac:dyDescent="0.2">
      <c r="I43" t="s">
        <v>1348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5"/>
  <sheetViews>
    <sheetView topLeftCell="A6" zoomScale="70" zoomScaleNormal="70" workbookViewId="0">
      <pane ySplit="7" topLeftCell="A13" activePane="bottomLeft" state="frozen"/>
      <selection activeCell="K14" sqref="K14"/>
      <selection pane="bottomLeft" activeCell="I32" sqref="I31:I32"/>
    </sheetView>
  </sheetViews>
  <sheetFormatPr defaultColWidth="14.375" defaultRowHeight="20.25" x14ac:dyDescent="0.3"/>
  <cols>
    <col min="1" max="1" width="9.25" style="625" bestFit="1" customWidth="1"/>
    <col min="2" max="2" width="35.375" style="625" bestFit="1" customWidth="1"/>
    <col min="3" max="3" width="23.75" style="624" hidden="1" customWidth="1"/>
    <col min="4" max="4" width="14" style="625" hidden="1" customWidth="1"/>
    <col min="5" max="5" width="14" style="626" hidden="1" customWidth="1"/>
    <col min="6" max="6" width="22.625" style="625" customWidth="1"/>
    <col min="7" max="7" width="2.75" style="625" customWidth="1"/>
    <col min="8" max="16384" width="14.375" style="625"/>
  </cols>
  <sheetData>
    <row r="1" spans="1:6" x14ac:dyDescent="0.3">
      <c r="A1" s="623"/>
      <c r="B1" s="623"/>
    </row>
    <row r="2" spans="1:6" ht="40.5" x14ac:dyDescent="0.3">
      <c r="A2" s="627"/>
      <c r="B2" s="627"/>
      <c r="C2" s="628" t="s">
        <v>1625</v>
      </c>
      <c r="D2" s="629"/>
    </row>
    <row r="3" spans="1:6" x14ac:dyDescent="0.3">
      <c r="A3" s="627"/>
      <c r="B3" s="627"/>
      <c r="C3" s="630"/>
      <c r="D3" s="629"/>
    </row>
    <row r="4" spans="1:6" x14ac:dyDescent="0.3">
      <c r="A4" s="627"/>
      <c r="B4" s="627"/>
      <c r="C4" s="630"/>
      <c r="D4" s="629"/>
    </row>
    <row r="5" spans="1:6" x14ac:dyDescent="0.3">
      <c r="A5" s="627"/>
      <c r="B5" s="631" t="s">
        <v>33</v>
      </c>
      <c r="C5" s="630"/>
      <c r="D5" s="629"/>
    </row>
    <row r="6" spans="1:6" x14ac:dyDescent="0.3">
      <c r="A6" s="627"/>
      <c r="B6" s="632"/>
      <c r="C6" s="630"/>
      <c r="D6" s="629"/>
      <c r="E6" s="629"/>
      <c r="F6" s="633"/>
    </row>
    <row r="7" spans="1:6" ht="40.5" x14ac:dyDescent="0.3">
      <c r="A7" s="627"/>
      <c r="B7" s="631"/>
      <c r="C7" s="630"/>
      <c r="D7" s="629" t="s">
        <v>1671</v>
      </c>
      <c r="E7" s="629"/>
      <c r="F7" s="628" t="s">
        <v>1685</v>
      </c>
    </row>
    <row r="8" spans="1:6" x14ac:dyDescent="0.3">
      <c r="A8" s="627"/>
      <c r="B8" s="627"/>
      <c r="C8" s="630"/>
      <c r="D8" s="629"/>
      <c r="E8" s="635"/>
      <c r="F8" s="657" t="s">
        <v>1684</v>
      </c>
    </row>
    <row r="9" spans="1:6" x14ac:dyDescent="0.3">
      <c r="A9" s="627" t="s">
        <v>34</v>
      </c>
      <c r="B9" s="627" t="s">
        <v>5</v>
      </c>
      <c r="C9" s="630">
        <v>161708.28</v>
      </c>
      <c r="D9" s="636">
        <v>166464.058785</v>
      </c>
      <c r="E9" s="626">
        <v>170152.32000000001</v>
      </c>
      <c r="F9" s="637">
        <v>171046.01</v>
      </c>
    </row>
    <row r="10" spans="1:6" x14ac:dyDescent="0.3">
      <c r="A10" s="627" t="s">
        <v>35</v>
      </c>
      <c r="B10" s="627" t="s">
        <v>6</v>
      </c>
      <c r="C10" s="630">
        <v>208230.49</v>
      </c>
      <c r="D10" s="636">
        <v>213370.92446099999</v>
      </c>
      <c r="E10" s="626">
        <v>246929.78</v>
      </c>
      <c r="F10" s="637">
        <v>244961.75</v>
      </c>
    </row>
    <row r="11" spans="1:6" x14ac:dyDescent="0.3">
      <c r="A11" s="627" t="s">
        <v>36</v>
      </c>
      <c r="B11" s="627" t="s">
        <v>7</v>
      </c>
      <c r="C11" s="630">
        <v>129187.15</v>
      </c>
      <c r="D11" s="635">
        <v>150415.58056500001</v>
      </c>
      <c r="E11" s="626">
        <v>158558.71</v>
      </c>
      <c r="F11" s="637">
        <v>157790.73000000001</v>
      </c>
    </row>
    <row r="12" spans="1:6" x14ac:dyDescent="0.3">
      <c r="A12" s="627" t="s">
        <v>37</v>
      </c>
      <c r="B12" s="627" t="s">
        <v>38</v>
      </c>
      <c r="C12" s="630">
        <v>222605.45</v>
      </c>
      <c r="D12" s="635">
        <v>224345.465815</v>
      </c>
      <c r="E12" s="626">
        <v>229170.35</v>
      </c>
      <c r="F12" s="637">
        <v>228880.35</v>
      </c>
    </row>
    <row r="13" spans="1:6" x14ac:dyDescent="0.3">
      <c r="A13" s="627" t="s">
        <v>39</v>
      </c>
      <c r="B13" s="627" t="s">
        <v>40</v>
      </c>
      <c r="C13" s="630">
        <v>142701.97</v>
      </c>
      <c r="D13" s="635">
        <v>166632.45516000001</v>
      </c>
      <c r="E13" s="626">
        <v>171531.44</v>
      </c>
      <c r="F13" s="637">
        <v>171531.44</v>
      </c>
    </row>
    <row r="14" spans="1:6" x14ac:dyDescent="0.3">
      <c r="A14" s="627" t="s">
        <v>41</v>
      </c>
      <c r="B14" s="627" t="s">
        <v>10</v>
      </c>
      <c r="C14" s="630">
        <v>235174.3</v>
      </c>
      <c r="D14" s="635">
        <v>210356.67</v>
      </c>
      <c r="E14" s="626">
        <v>224095.51</v>
      </c>
      <c r="F14" s="637">
        <v>225601.06</v>
      </c>
    </row>
    <row r="15" spans="1:6" x14ac:dyDescent="0.3">
      <c r="A15" s="627" t="s">
        <v>1628</v>
      </c>
      <c r="B15" s="627" t="s">
        <v>1555</v>
      </c>
      <c r="C15" s="630"/>
      <c r="D15" s="638">
        <v>59566.07</v>
      </c>
      <c r="E15" s="626">
        <v>63661.77</v>
      </c>
      <c r="F15" s="637">
        <v>62951.721270000002</v>
      </c>
    </row>
    <row r="16" spans="1:6" x14ac:dyDescent="0.3">
      <c r="A16" s="627" t="s">
        <v>1561</v>
      </c>
      <c r="B16" s="627" t="s">
        <v>1562</v>
      </c>
      <c r="C16" s="630">
        <v>2583.6</v>
      </c>
      <c r="D16" s="635">
        <v>3229.5</v>
      </c>
      <c r="E16" s="626">
        <v>3229.5</v>
      </c>
      <c r="F16" s="637">
        <v>3229.5</v>
      </c>
    </row>
    <row r="17" spans="1:7" x14ac:dyDescent="0.3">
      <c r="A17" s="627" t="s">
        <v>42</v>
      </c>
      <c r="B17" s="627" t="s">
        <v>11</v>
      </c>
      <c r="C17" s="630">
        <v>620391.39</v>
      </c>
      <c r="D17" s="635">
        <v>695152.25669359998</v>
      </c>
      <c r="E17" s="626">
        <v>1383389.65</v>
      </c>
      <c r="F17" s="637">
        <v>681848.09</v>
      </c>
    </row>
    <row r="18" spans="1:7" x14ac:dyDescent="0.3">
      <c r="A18" s="627" t="s">
        <v>43</v>
      </c>
      <c r="B18" s="627" t="s">
        <v>12</v>
      </c>
      <c r="C18" s="630">
        <v>449078.09</v>
      </c>
      <c r="D18" s="635">
        <v>466960.772405</v>
      </c>
      <c r="E18" s="626">
        <v>642295.6</v>
      </c>
      <c r="F18" s="637">
        <v>534883.93999999994</v>
      </c>
    </row>
    <row r="19" spans="1:7" x14ac:dyDescent="0.3">
      <c r="A19" s="627" t="s">
        <v>44</v>
      </c>
      <c r="B19" s="627" t="s">
        <v>13</v>
      </c>
      <c r="C19" s="630">
        <v>282872.88</v>
      </c>
      <c r="D19" s="635">
        <v>266687.64923500002</v>
      </c>
      <c r="E19" s="626">
        <v>367945.73</v>
      </c>
      <c r="F19" s="635">
        <v>357945.73465175001</v>
      </c>
    </row>
    <row r="20" spans="1:7" x14ac:dyDescent="0.3">
      <c r="A20" s="627" t="s">
        <v>45</v>
      </c>
      <c r="B20" s="627" t="s">
        <v>14</v>
      </c>
      <c r="C20" s="630">
        <v>3200</v>
      </c>
      <c r="D20" s="635">
        <v>1200</v>
      </c>
      <c r="E20" s="626">
        <v>1400</v>
      </c>
      <c r="F20" s="637">
        <v>1400</v>
      </c>
    </row>
    <row r="21" spans="1:7" x14ac:dyDescent="0.3">
      <c r="A21" s="627" t="s">
        <v>46</v>
      </c>
      <c r="B21" s="639" t="s">
        <v>47</v>
      </c>
      <c r="C21" s="630">
        <v>7923.625</v>
      </c>
      <c r="D21" s="640">
        <v>7749.9187500000007</v>
      </c>
      <c r="E21" s="626">
        <v>7935.61</v>
      </c>
      <c r="F21" s="637">
        <v>7935.61</v>
      </c>
    </row>
    <row r="22" spans="1:7" x14ac:dyDescent="0.3">
      <c r="A22" s="627" t="s">
        <v>48</v>
      </c>
      <c r="B22" s="627" t="s">
        <v>16</v>
      </c>
      <c r="C22" s="630">
        <v>173223.75</v>
      </c>
      <c r="D22" s="635">
        <v>177588.27423000001</v>
      </c>
      <c r="E22" s="626">
        <v>193039.97</v>
      </c>
      <c r="F22" s="637">
        <v>188981.2</v>
      </c>
    </row>
    <row r="23" spans="1:7" x14ac:dyDescent="0.3">
      <c r="A23" s="627" t="s">
        <v>49</v>
      </c>
      <c r="B23" s="627" t="s">
        <v>50</v>
      </c>
      <c r="C23" s="630">
        <v>150328.35999999999</v>
      </c>
      <c r="D23" s="635">
        <v>162106.38</v>
      </c>
      <c r="E23" s="626">
        <v>180405.97</v>
      </c>
      <c r="F23" s="637">
        <v>178249.97</v>
      </c>
      <c r="G23" s="625" t="s">
        <v>1667</v>
      </c>
    </row>
    <row r="24" spans="1:7" x14ac:dyDescent="0.3">
      <c r="A24" s="627" t="s">
        <v>51</v>
      </c>
      <c r="B24" s="627" t="s">
        <v>18</v>
      </c>
      <c r="C24" s="635">
        <v>510578.26</v>
      </c>
      <c r="D24" s="635">
        <v>658384</v>
      </c>
      <c r="E24" s="626">
        <v>619970</v>
      </c>
      <c r="F24" s="637">
        <v>621953.74</v>
      </c>
    </row>
    <row r="25" spans="1:7" x14ac:dyDescent="0.3">
      <c r="A25" s="627" t="s">
        <v>52</v>
      </c>
      <c r="B25" s="627" t="s">
        <v>19</v>
      </c>
      <c r="C25" s="630">
        <v>3400</v>
      </c>
      <c r="D25" s="635">
        <v>2050</v>
      </c>
      <c r="E25" s="626">
        <v>2600</v>
      </c>
      <c r="F25" s="637">
        <v>2600</v>
      </c>
    </row>
    <row r="26" spans="1:7" x14ac:dyDescent="0.3">
      <c r="A26" s="627" t="s">
        <v>53</v>
      </c>
      <c r="B26" s="627" t="s">
        <v>20</v>
      </c>
      <c r="C26" s="630">
        <v>168703.43</v>
      </c>
      <c r="D26" s="634">
        <v>188103.43</v>
      </c>
      <c r="E26" s="626">
        <v>193403.34</v>
      </c>
      <c r="F26" s="637">
        <v>220903.43</v>
      </c>
    </row>
    <row r="27" spans="1:7" x14ac:dyDescent="0.3">
      <c r="A27" s="627" t="s">
        <v>54</v>
      </c>
      <c r="B27" s="627" t="s">
        <v>21</v>
      </c>
      <c r="C27" s="630">
        <v>48000</v>
      </c>
      <c r="D27" s="635">
        <v>48000</v>
      </c>
      <c r="E27" s="626">
        <v>58000</v>
      </c>
      <c r="F27" s="637">
        <v>60000</v>
      </c>
    </row>
    <row r="28" spans="1:7" x14ac:dyDescent="0.3">
      <c r="A28" s="627" t="s">
        <v>55</v>
      </c>
      <c r="B28" s="627" t="s">
        <v>22</v>
      </c>
      <c r="C28" s="630">
        <v>80000</v>
      </c>
      <c r="D28" s="635">
        <v>80000</v>
      </c>
      <c r="E28" s="626">
        <v>80000</v>
      </c>
      <c r="F28" s="637">
        <v>80000</v>
      </c>
    </row>
    <row r="29" spans="1:7" x14ac:dyDescent="0.3">
      <c r="A29" s="627" t="s">
        <v>56</v>
      </c>
      <c r="B29" s="627" t="s">
        <v>57</v>
      </c>
      <c r="C29" s="630">
        <v>88229.54</v>
      </c>
      <c r="D29" s="635">
        <v>97770.04</v>
      </c>
      <c r="E29" s="626">
        <v>97770</v>
      </c>
      <c r="F29" s="637">
        <v>137770</v>
      </c>
    </row>
    <row r="30" spans="1:7" x14ac:dyDescent="0.3">
      <c r="A30" s="627" t="s">
        <v>58</v>
      </c>
      <c r="B30" s="627" t="s">
        <v>59</v>
      </c>
      <c r="C30" s="630">
        <v>87529.54</v>
      </c>
      <c r="D30" s="635">
        <v>95070.04</v>
      </c>
      <c r="E30" s="626">
        <v>92600</v>
      </c>
      <c r="F30" s="637">
        <v>92600</v>
      </c>
    </row>
    <row r="31" spans="1:7" x14ac:dyDescent="0.3">
      <c r="A31" s="627" t="s">
        <v>60</v>
      </c>
      <c r="B31" s="627" t="s">
        <v>24</v>
      </c>
      <c r="C31" s="630">
        <v>5500</v>
      </c>
      <c r="D31" s="635">
        <v>6250</v>
      </c>
      <c r="E31" s="641">
        <v>6250</v>
      </c>
      <c r="F31" s="637">
        <v>6250</v>
      </c>
    </row>
    <row r="32" spans="1:7" x14ac:dyDescent="0.3">
      <c r="A32" s="627" t="s">
        <v>61</v>
      </c>
      <c r="B32" s="639" t="s">
        <v>62</v>
      </c>
      <c r="C32" s="630">
        <v>5450</v>
      </c>
      <c r="D32" s="635">
        <v>5450</v>
      </c>
      <c r="E32" s="641">
        <v>5450</v>
      </c>
      <c r="F32" s="635">
        <v>5450</v>
      </c>
    </row>
    <row r="33" spans="1:6" x14ac:dyDescent="0.3">
      <c r="A33" s="627" t="s">
        <v>63</v>
      </c>
      <c r="B33" s="627" t="s">
        <v>26</v>
      </c>
      <c r="C33" s="630">
        <v>48835.22</v>
      </c>
      <c r="D33" s="635">
        <v>59721.29</v>
      </c>
      <c r="E33" s="641">
        <v>59721</v>
      </c>
      <c r="F33" s="637">
        <v>61160.56</v>
      </c>
    </row>
    <row r="34" spans="1:6" x14ac:dyDescent="0.3">
      <c r="A34" s="627" t="s">
        <v>64</v>
      </c>
      <c r="B34" s="627" t="s">
        <v>27</v>
      </c>
      <c r="C34" s="630">
        <v>33308</v>
      </c>
      <c r="D34" s="635">
        <v>30272</v>
      </c>
      <c r="E34" s="641">
        <v>30123.66</v>
      </c>
      <c r="F34" s="637">
        <v>30123.661500000002</v>
      </c>
    </row>
    <row r="35" spans="1:6" x14ac:dyDescent="0.3">
      <c r="A35" s="639" t="s">
        <v>65</v>
      </c>
      <c r="B35" s="627" t="s">
        <v>28</v>
      </c>
      <c r="C35" s="630"/>
      <c r="D35" s="635"/>
      <c r="E35" s="641"/>
      <c r="F35" s="637"/>
    </row>
    <row r="36" spans="1:6" x14ac:dyDescent="0.3">
      <c r="A36" s="639"/>
      <c r="B36" s="642" t="s">
        <v>144</v>
      </c>
      <c r="C36" s="630"/>
      <c r="D36" s="635">
        <f>SUM(D9:D35)</f>
        <v>4242896.7760995999</v>
      </c>
      <c r="E36" s="641"/>
      <c r="F36" s="637">
        <f>SUM(F9:F33)</f>
        <v>4505924.8359217504</v>
      </c>
    </row>
    <row r="37" spans="1:6" x14ac:dyDescent="0.3">
      <c r="A37" s="639"/>
      <c r="B37" s="643"/>
      <c r="C37" s="630"/>
      <c r="D37" s="635"/>
      <c r="E37" s="641"/>
      <c r="F37" s="637"/>
    </row>
    <row r="38" spans="1:6" x14ac:dyDescent="0.3">
      <c r="A38" s="644" t="s">
        <v>1395</v>
      </c>
      <c r="B38" s="645" t="s">
        <v>1396</v>
      </c>
      <c r="C38" s="635">
        <v>170062.41172319997</v>
      </c>
      <c r="D38" s="635">
        <v>173335.6835328</v>
      </c>
      <c r="E38" s="641">
        <v>184000</v>
      </c>
      <c r="F38" s="637">
        <v>181587.86816000001</v>
      </c>
    </row>
    <row r="39" spans="1:6" x14ac:dyDescent="0.3">
      <c r="A39" s="639"/>
      <c r="B39" s="646"/>
      <c r="C39" s="630"/>
      <c r="D39" s="635"/>
      <c r="E39" s="641"/>
      <c r="F39" s="637"/>
    </row>
    <row r="40" spans="1:6" x14ac:dyDescent="0.3">
      <c r="A40" s="627"/>
      <c r="B40" s="647" t="s">
        <v>66</v>
      </c>
      <c r="C40" s="648">
        <f>SUM(C9:C39)</f>
        <v>4038805.7367232</v>
      </c>
      <c r="D40" s="635">
        <f>SUM(D36:D38)</f>
        <v>4416232.4596323995</v>
      </c>
      <c r="E40" s="641">
        <f>SUM(E9:E35)</f>
        <v>5289629.91</v>
      </c>
      <c r="F40" s="635">
        <f>SUM(F36:F38)</f>
        <v>4687512.7040817505</v>
      </c>
    </row>
    <row r="41" spans="1:6" x14ac:dyDescent="0.3">
      <c r="A41" s="627"/>
      <c r="B41" s="627"/>
      <c r="C41" s="630"/>
      <c r="D41" s="635"/>
      <c r="F41" s="629"/>
    </row>
    <row r="42" spans="1:6" x14ac:dyDescent="0.3">
      <c r="A42" s="627"/>
      <c r="B42" s="631" t="s">
        <v>67</v>
      </c>
      <c r="C42" s="630"/>
      <c r="D42" s="635"/>
      <c r="F42" s="629"/>
    </row>
    <row r="43" spans="1:6" x14ac:dyDescent="0.3">
      <c r="A43" s="627"/>
      <c r="B43" s="631"/>
      <c r="C43" s="630"/>
      <c r="D43" s="635"/>
      <c r="F43" s="629"/>
    </row>
    <row r="44" spans="1:6" x14ac:dyDescent="0.3">
      <c r="A44" s="627" t="s">
        <v>68</v>
      </c>
      <c r="B44" s="627" t="s">
        <v>69</v>
      </c>
      <c r="C44" s="630">
        <v>439635</v>
      </c>
      <c r="D44" s="637">
        <v>483878.95189999999</v>
      </c>
      <c r="E44" s="641">
        <v>488503.37</v>
      </c>
      <c r="F44" s="637">
        <v>486857.28</v>
      </c>
    </row>
    <row r="45" spans="1:6" x14ac:dyDescent="0.3">
      <c r="A45" s="627" t="s">
        <v>70</v>
      </c>
      <c r="B45" s="627" t="s">
        <v>71</v>
      </c>
      <c r="C45" s="630">
        <v>547987.53</v>
      </c>
      <c r="D45" s="637">
        <v>670998.95189999999</v>
      </c>
      <c r="E45" s="641">
        <v>678873.68</v>
      </c>
      <c r="F45" s="637">
        <v>677211.41</v>
      </c>
    </row>
    <row r="46" spans="1:6" x14ac:dyDescent="0.3">
      <c r="A46" s="627" t="s">
        <v>72</v>
      </c>
      <c r="B46" s="627" t="s">
        <v>73</v>
      </c>
      <c r="C46" s="630">
        <v>436635</v>
      </c>
      <c r="D46" s="637">
        <v>438828.95189999999</v>
      </c>
      <c r="E46" s="641">
        <v>450683.28</v>
      </c>
      <c r="F46" s="637">
        <v>463123.7</v>
      </c>
    </row>
    <row r="47" spans="1:6" x14ac:dyDescent="0.3">
      <c r="A47" s="627" t="s">
        <v>74</v>
      </c>
      <c r="B47" s="627" t="s">
        <v>75</v>
      </c>
      <c r="C47" s="630">
        <v>435635</v>
      </c>
      <c r="D47" s="637">
        <v>486211.95189999999</v>
      </c>
      <c r="E47" s="641">
        <v>483783.73</v>
      </c>
      <c r="F47" s="637">
        <v>526386.42000000004</v>
      </c>
    </row>
    <row r="48" spans="1:6" x14ac:dyDescent="0.3">
      <c r="A48" s="627"/>
      <c r="B48" s="649" t="s">
        <v>76</v>
      </c>
      <c r="C48" s="630">
        <f>SUM(C44:C47)</f>
        <v>1859892.53</v>
      </c>
      <c r="D48" s="637">
        <v>2079918.8075999999</v>
      </c>
      <c r="E48" s="650">
        <f>SUM(E44:E47)</f>
        <v>2101844.06</v>
      </c>
      <c r="F48" s="630">
        <f>SUM(F44:F47)</f>
        <v>2153578.81</v>
      </c>
    </row>
    <row r="49" spans="1:7" x14ac:dyDescent="0.3">
      <c r="A49" s="627"/>
      <c r="B49" s="651"/>
      <c r="C49" s="630"/>
      <c r="D49" s="635"/>
      <c r="F49" s="629"/>
    </row>
    <row r="50" spans="1:7" x14ac:dyDescent="0.3">
      <c r="A50" s="627"/>
      <c r="B50" s="649" t="s">
        <v>77</v>
      </c>
      <c r="C50" s="652">
        <f>SUM(C40+C48)</f>
        <v>5898698.2667231997</v>
      </c>
      <c r="D50" s="652">
        <f>SUM(D40+E48)</f>
        <v>6518076.5196323991</v>
      </c>
      <c r="E50" s="653">
        <f>SUM(E40+E48)</f>
        <v>7391473.9700000007</v>
      </c>
      <c r="F50" s="652">
        <f>SUM(F40+F48)</f>
        <v>6841091.5140817501</v>
      </c>
    </row>
    <row r="51" spans="1:7" x14ac:dyDescent="0.3">
      <c r="A51" s="627"/>
      <c r="B51" s="627"/>
      <c r="C51" s="630"/>
      <c r="D51" s="641"/>
      <c r="E51" s="635" cm="1">
        <f t="array" aca="1" ref="E51" ca="1">E51:E69</f>
        <v>0</v>
      </c>
      <c r="F51" s="629"/>
    </row>
    <row r="52" spans="1:7" x14ac:dyDescent="0.3">
      <c r="A52" s="627"/>
      <c r="B52" s="627"/>
      <c r="C52" s="630"/>
      <c r="D52" s="641"/>
      <c r="E52" s="635"/>
      <c r="F52" s="629"/>
    </row>
    <row r="53" spans="1:7" x14ac:dyDescent="0.3">
      <c r="A53" s="627"/>
      <c r="B53" s="627" t="s">
        <v>78</v>
      </c>
      <c r="C53" s="635">
        <v>4038805.7367232</v>
      </c>
      <c r="D53" s="641">
        <v>3457968.78</v>
      </c>
      <c r="E53" s="629"/>
      <c r="F53" s="637">
        <v>3764677.5977700003</v>
      </c>
    </row>
    <row r="54" spans="1:7" x14ac:dyDescent="0.3">
      <c r="A54" s="627"/>
      <c r="B54" s="627" t="s">
        <v>79</v>
      </c>
      <c r="C54" s="630">
        <v>689000</v>
      </c>
      <c r="D54" s="641">
        <v>784928</v>
      </c>
      <c r="E54" s="654">
        <f>SUM(D53:D54)</f>
        <v>4242896.7799999993</v>
      </c>
      <c r="F54" s="637">
        <v>950000</v>
      </c>
    </row>
    <row r="55" spans="1:7" x14ac:dyDescent="0.3">
      <c r="A55" s="627"/>
      <c r="B55" s="627" t="s">
        <v>80</v>
      </c>
      <c r="C55" s="635">
        <v>1254184.1305</v>
      </c>
      <c r="D55" s="641">
        <v>1396755.8075999999</v>
      </c>
      <c r="E55" s="629"/>
      <c r="F55" s="637">
        <v>1194307.0432</v>
      </c>
    </row>
    <row r="56" spans="1:7" x14ac:dyDescent="0.3">
      <c r="A56" s="627"/>
      <c r="B56" s="627" t="s">
        <v>81</v>
      </c>
      <c r="C56" s="630">
        <v>605708.39</v>
      </c>
      <c r="D56" s="641">
        <v>683160</v>
      </c>
      <c r="E56" s="654">
        <f>SUM(D55:D56)</f>
        <v>2079915.8075999999</v>
      </c>
      <c r="F56" s="654">
        <v>890443</v>
      </c>
    </row>
    <row r="57" spans="1:7" x14ac:dyDescent="0.3">
      <c r="A57" s="627"/>
      <c r="B57" s="627" t="s">
        <v>82</v>
      </c>
      <c r="C57" s="648">
        <f>SUM(C53:C56)</f>
        <v>6587698.2572231991</v>
      </c>
      <c r="D57" s="655">
        <f>SUM(D53:D56)</f>
        <v>6322812.5875999993</v>
      </c>
      <c r="E57" s="629"/>
      <c r="F57" s="654">
        <f>SUM(F53:F56)</f>
        <v>6799427.6409700001</v>
      </c>
    </row>
    <row r="58" spans="1:7" x14ac:dyDescent="0.3">
      <c r="A58" s="627"/>
      <c r="B58" s="627" t="s">
        <v>83</v>
      </c>
      <c r="C58" s="652">
        <f>SUM(C50)</f>
        <v>5898698.2667231997</v>
      </c>
      <c r="D58" s="653">
        <f>SUM(D50)</f>
        <v>6518076.5196323991</v>
      </c>
      <c r="E58" s="654">
        <f>SUM(E54:E56)</f>
        <v>6322812.5875999993</v>
      </c>
      <c r="F58" s="652">
        <v>6841091.5140817501</v>
      </c>
    </row>
    <row r="59" spans="1:7" x14ac:dyDescent="0.3">
      <c r="A59" s="627"/>
      <c r="B59" s="627" t="s">
        <v>84</v>
      </c>
      <c r="C59" s="648"/>
      <c r="D59" s="655"/>
      <c r="E59" s="629"/>
      <c r="F59" s="629"/>
    </row>
    <row r="60" spans="1:7" x14ac:dyDescent="0.3">
      <c r="A60" s="627"/>
      <c r="B60" s="627"/>
      <c r="C60" s="648"/>
      <c r="D60" s="641"/>
      <c r="E60" s="629"/>
      <c r="F60" s="629"/>
      <c r="G60" s="656">
        <f>SUM(F53:F54)</f>
        <v>4714677.5977699999</v>
      </c>
    </row>
    <row r="61" spans="1:7" x14ac:dyDescent="0.3">
      <c r="A61" s="627"/>
      <c r="B61" s="627"/>
      <c r="C61" s="630"/>
      <c r="D61" s="641"/>
      <c r="E61" s="629"/>
      <c r="F61" s="629"/>
    </row>
    <row r="62" spans="1:7" x14ac:dyDescent="0.3">
      <c r="A62" s="627"/>
      <c r="B62" s="627" t="s">
        <v>85</v>
      </c>
      <c r="C62" s="648">
        <v>4038805.7367232</v>
      </c>
      <c r="D62" s="641">
        <f>+SUM(D40)</f>
        <v>4416232.4596323995</v>
      </c>
      <c r="E62" s="629"/>
      <c r="F62" s="635">
        <v>4474064.9146517506</v>
      </c>
      <c r="G62" s="656">
        <f>SUM(F55:F56)</f>
        <v>2084750.0432</v>
      </c>
    </row>
    <row r="63" spans="1:7" x14ac:dyDescent="0.3">
      <c r="A63" s="627"/>
      <c r="B63" s="627" t="s">
        <v>86</v>
      </c>
      <c r="C63" s="630">
        <f>SUM(C53:C54)</f>
        <v>4727805.7367231995</v>
      </c>
      <c r="D63" s="656">
        <f>SUM(E54)</f>
        <v>4242896.7799999993</v>
      </c>
      <c r="E63" s="629"/>
      <c r="F63" s="637">
        <v>4474064.91</v>
      </c>
    </row>
    <row r="64" spans="1:7" x14ac:dyDescent="0.3">
      <c r="A64" s="627"/>
      <c r="B64" s="627" t="s">
        <v>1681</v>
      </c>
      <c r="C64" s="648">
        <f>SUM(C63-C62)</f>
        <v>688999.99999999953</v>
      </c>
      <c r="D64" s="655">
        <f>SUM(D62-D63)</f>
        <v>173335.67963240016</v>
      </c>
      <c r="E64" s="635"/>
      <c r="F64" s="648">
        <v>181587.86816000001</v>
      </c>
      <c r="G64" s="656">
        <f>SUM(G60:G63)</f>
        <v>6799427.6409700001</v>
      </c>
    </row>
    <row r="65" spans="1:7" hidden="1" x14ac:dyDescent="0.3">
      <c r="A65" s="627"/>
      <c r="B65" s="627"/>
      <c r="C65" s="630"/>
      <c r="D65" s="641"/>
      <c r="E65" s="635"/>
      <c r="F65" s="629"/>
    </row>
    <row r="66" spans="1:7" x14ac:dyDescent="0.3">
      <c r="A66" s="627"/>
      <c r="B66" s="627" t="s">
        <v>88</v>
      </c>
      <c r="C66" s="630">
        <v>1859892.5205000001</v>
      </c>
      <c r="D66" s="650">
        <v>2079915.7999999998</v>
      </c>
      <c r="E66" s="635"/>
      <c r="F66" s="637">
        <v>2153578.81</v>
      </c>
    </row>
    <row r="67" spans="1:7" x14ac:dyDescent="0.3">
      <c r="A67" s="627"/>
      <c r="B67" s="627" t="s">
        <v>89</v>
      </c>
      <c r="C67" s="648">
        <f>SUM(C55+C56)</f>
        <v>1859892.5205000001</v>
      </c>
      <c r="D67" s="655">
        <v>2079915.8075999999</v>
      </c>
      <c r="E67" s="635"/>
      <c r="F67" s="654">
        <v>2153578.81</v>
      </c>
    </row>
    <row r="68" spans="1:7" x14ac:dyDescent="0.3">
      <c r="A68" s="627"/>
      <c r="B68" s="627" t="s">
        <v>87</v>
      </c>
      <c r="C68" s="630">
        <f>SUM(C67-C66)</f>
        <v>0</v>
      </c>
      <c r="D68" s="650">
        <f>SUM(D67-D66)</f>
        <v>7.6000001281499863E-3</v>
      </c>
      <c r="E68" s="635"/>
      <c r="F68" s="630">
        <v>0</v>
      </c>
    </row>
    <row r="69" spans="1:7" x14ac:dyDescent="0.3">
      <c r="A69" s="627"/>
      <c r="B69" s="627"/>
      <c r="C69" s="630"/>
      <c r="D69" s="641"/>
      <c r="E69" s="635"/>
      <c r="F69" s="629"/>
    </row>
    <row r="70" spans="1:7" x14ac:dyDescent="0.3">
      <c r="G70" s="656">
        <f>SUM(F63:F64)</f>
        <v>4655652.7781600002</v>
      </c>
    </row>
    <row r="73" spans="1:7" x14ac:dyDescent="0.3">
      <c r="C73" s="625"/>
      <c r="D73" s="626"/>
      <c r="E73" s="625"/>
    </row>
    <row r="74" spans="1:7" x14ac:dyDescent="0.3">
      <c r="C74" s="625"/>
      <c r="D74" s="626"/>
      <c r="E74" s="625"/>
    </row>
    <row r="75" spans="1:7" x14ac:dyDescent="0.3">
      <c r="C75" s="625"/>
      <c r="D75" s="626"/>
      <c r="E75" s="625"/>
    </row>
  </sheetData>
  <pageMargins left="0.7" right="0.7" top="0.75" bottom="0.75" header="0.3" footer="0.3"/>
  <pageSetup orientation="portrait" r:id="rId1"/>
  <ignoredErrors>
    <ignoredError sqref="G6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3"/>
  <sheetViews>
    <sheetView zoomScale="99" zoomScaleNormal="99" workbookViewId="0">
      <selection activeCell="J6" sqref="J6"/>
    </sheetView>
  </sheetViews>
  <sheetFormatPr defaultColWidth="9" defaultRowHeight="12.75" x14ac:dyDescent="0.2"/>
  <cols>
    <col min="1" max="1" width="11.75" style="39" customWidth="1"/>
    <col min="2" max="2" width="38.125" style="39" bestFit="1" customWidth="1"/>
    <col min="3" max="3" width="0.25" style="244" customWidth="1"/>
    <col min="4" max="4" width="18.75" style="255" hidden="1" customWidth="1"/>
    <col min="5" max="5" width="18.75" style="39" bestFit="1" customWidth="1"/>
    <col min="6" max="6" width="17.5" style="39" customWidth="1"/>
    <col min="7" max="16384" width="9" style="39"/>
  </cols>
  <sheetData>
    <row r="1" spans="1:5" ht="42" customHeight="1" x14ac:dyDescent="0.25">
      <c r="A1" s="331"/>
      <c r="B1" s="658" t="s">
        <v>1477</v>
      </c>
      <c r="C1" s="332" t="s">
        <v>1543</v>
      </c>
      <c r="D1" s="418" t="s">
        <v>1634</v>
      </c>
      <c r="E1" s="266" t="s">
        <v>1686</v>
      </c>
    </row>
    <row r="2" spans="1:5" ht="15" x14ac:dyDescent="0.25">
      <c r="A2" s="333"/>
      <c r="B2" s="334"/>
      <c r="C2" s="335"/>
      <c r="D2" s="4"/>
      <c r="E2" s="143"/>
    </row>
    <row r="3" spans="1:5" ht="15" x14ac:dyDescent="0.25">
      <c r="A3" s="331" t="s">
        <v>90</v>
      </c>
      <c r="B3" s="336" t="s">
        <v>91</v>
      </c>
      <c r="C3" s="335">
        <v>35000</v>
      </c>
      <c r="D3" s="146">
        <v>35000</v>
      </c>
      <c r="E3" s="146">
        <v>35000</v>
      </c>
    </row>
    <row r="4" spans="1:5" ht="15" x14ac:dyDescent="0.25">
      <c r="A4" s="331" t="s">
        <v>92</v>
      </c>
      <c r="B4" s="336" t="s">
        <v>93</v>
      </c>
      <c r="C4" s="337">
        <v>2282343.29</v>
      </c>
      <c r="D4" s="146">
        <f>SUM(D$98)/100*0.46</f>
        <v>2442882.2191999997</v>
      </c>
      <c r="E4" s="146">
        <f>SUM(E$98+$E97)/100*0.45</f>
        <v>2554381.8765000002</v>
      </c>
    </row>
    <row r="5" spans="1:5" ht="15" x14ac:dyDescent="0.25">
      <c r="A5" s="331" t="s">
        <v>94</v>
      </c>
      <c r="B5" s="336" t="s">
        <v>95</v>
      </c>
      <c r="C5" s="335">
        <v>40000</v>
      </c>
      <c r="D5" s="146">
        <v>40000</v>
      </c>
      <c r="E5" s="146">
        <v>40000</v>
      </c>
    </row>
    <row r="6" spans="1:5" ht="15" x14ac:dyDescent="0.25">
      <c r="A6" s="331" t="s">
        <v>96</v>
      </c>
      <c r="B6" s="336" t="s">
        <v>97</v>
      </c>
      <c r="C6" s="335">
        <v>78000</v>
      </c>
      <c r="D6" s="146">
        <v>80000</v>
      </c>
      <c r="E6" s="146">
        <v>80000</v>
      </c>
    </row>
    <row r="7" spans="1:5" ht="15" x14ac:dyDescent="0.25">
      <c r="A7" s="331" t="s">
        <v>98</v>
      </c>
      <c r="B7" s="336" t="s">
        <v>99</v>
      </c>
      <c r="C7" s="335">
        <v>140000</v>
      </c>
      <c r="D7" s="146">
        <v>150000</v>
      </c>
      <c r="E7" s="146">
        <v>150000</v>
      </c>
    </row>
    <row r="8" spans="1:5" ht="15" x14ac:dyDescent="0.25">
      <c r="A8" s="331" t="s">
        <v>100</v>
      </c>
      <c r="B8" s="336" t="s">
        <v>101</v>
      </c>
      <c r="C8" s="335"/>
      <c r="D8" s="146"/>
      <c r="E8" s="146"/>
    </row>
    <row r="9" spans="1:5" ht="15" x14ac:dyDescent="0.25">
      <c r="A9" s="331" t="s">
        <v>102</v>
      </c>
      <c r="B9" s="336" t="s">
        <v>103</v>
      </c>
      <c r="C9" s="335">
        <v>7500</v>
      </c>
      <c r="D9" s="4">
        <v>7500</v>
      </c>
      <c r="E9" s="4">
        <v>7500</v>
      </c>
    </row>
    <row r="10" spans="1:5" ht="15" x14ac:dyDescent="0.25">
      <c r="A10" s="331" t="s">
        <v>104</v>
      </c>
      <c r="B10" s="336" t="s">
        <v>105</v>
      </c>
      <c r="C10" s="335">
        <v>6000</v>
      </c>
      <c r="D10" s="4">
        <v>6000</v>
      </c>
      <c r="E10" s="4">
        <v>6000</v>
      </c>
    </row>
    <row r="11" spans="1:5" ht="15" x14ac:dyDescent="0.25">
      <c r="A11" s="331" t="s">
        <v>106</v>
      </c>
      <c r="B11" s="336" t="s">
        <v>107</v>
      </c>
      <c r="C11" s="335">
        <v>2000</v>
      </c>
      <c r="D11" s="4">
        <v>2000</v>
      </c>
      <c r="E11" s="4">
        <v>2000</v>
      </c>
    </row>
    <row r="12" spans="1:5" ht="15" x14ac:dyDescent="0.25">
      <c r="A12" s="331" t="s">
        <v>108</v>
      </c>
      <c r="B12" s="336" t="s">
        <v>109</v>
      </c>
      <c r="C12" s="335">
        <v>155000</v>
      </c>
      <c r="D12" s="146">
        <v>230000</v>
      </c>
      <c r="E12" s="146">
        <v>400000</v>
      </c>
    </row>
    <row r="13" spans="1:5" ht="15" x14ac:dyDescent="0.25">
      <c r="A13" s="331" t="s">
        <v>110</v>
      </c>
      <c r="B13" s="336" t="s">
        <v>111</v>
      </c>
      <c r="C13" s="335">
        <v>1500</v>
      </c>
      <c r="D13" s="4">
        <v>1500</v>
      </c>
      <c r="E13" s="4">
        <v>1500</v>
      </c>
    </row>
    <row r="14" spans="1:5" ht="15" x14ac:dyDescent="0.25">
      <c r="A14" s="331" t="s">
        <v>112</v>
      </c>
      <c r="B14" s="336" t="s">
        <v>113</v>
      </c>
      <c r="C14" s="335">
        <v>1500</v>
      </c>
      <c r="D14" s="4">
        <v>1500</v>
      </c>
      <c r="E14" s="4">
        <v>1500</v>
      </c>
    </row>
    <row r="15" spans="1:5" ht="15" x14ac:dyDescent="0.25">
      <c r="A15" s="331" t="s">
        <v>114</v>
      </c>
      <c r="B15" s="336" t="s">
        <v>115</v>
      </c>
      <c r="C15" s="335">
        <v>20000</v>
      </c>
      <c r="D15" s="4">
        <v>20000</v>
      </c>
      <c r="E15" s="4">
        <v>20000</v>
      </c>
    </row>
    <row r="16" spans="1:5" ht="15" x14ac:dyDescent="0.25">
      <c r="A16" s="331" t="s">
        <v>116</v>
      </c>
      <c r="B16" s="336" t="s">
        <v>117</v>
      </c>
      <c r="C16" s="335">
        <v>2000</v>
      </c>
      <c r="D16" s="4">
        <v>2000</v>
      </c>
      <c r="E16" s="4">
        <v>2000</v>
      </c>
    </row>
    <row r="17" spans="1:5" ht="15" x14ac:dyDescent="0.25">
      <c r="A17" s="331" t="s">
        <v>118</v>
      </c>
      <c r="B17" s="336" t="s">
        <v>119</v>
      </c>
      <c r="C17" s="335">
        <v>1500</v>
      </c>
      <c r="D17" s="4">
        <v>1500</v>
      </c>
      <c r="E17" s="4">
        <v>1500</v>
      </c>
    </row>
    <row r="18" spans="1:5" ht="15" x14ac:dyDescent="0.25">
      <c r="A18" s="331" t="s">
        <v>120</v>
      </c>
      <c r="B18" s="336" t="s">
        <v>121</v>
      </c>
      <c r="C18" s="335">
        <v>0</v>
      </c>
      <c r="D18" s="146"/>
      <c r="E18" s="146"/>
    </row>
    <row r="19" spans="1:5" ht="15" x14ac:dyDescent="0.25">
      <c r="A19" s="331" t="s">
        <v>122</v>
      </c>
      <c r="B19" s="336" t="s">
        <v>123</v>
      </c>
      <c r="C19" s="335">
        <v>2000</v>
      </c>
      <c r="D19" s="4">
        <v>2000</v>
      </c>
      <c r="E19" s="4">
        <v>2000</v>
      </c>
    </row>
    <row r="20" spans="1:5" ht="15" x14ac:dyDescent="0.25">
      <c r="A20" s="331" t="s">
        <v>124</v>
      </c>
      <c r="B20" s="336" t="s">
        <v>125</v>
      </c>
      <c r="C20" s="335">
        <v>6000</v>
      </c>
      <c r="D20" s="4">
        <v>6000</v>
      </c>
      <c r="E20" s="4">
        <v>6000</v>
      </c>
    </row>
    <row r="21" spans="1:5" ht="15" x14ac:dyDescent="0.25">
      <c r="A21" s="331" t="s">
        <v>126</v>
      </c>
      <c r="B21" s="336" t="s">
        <v>127</v>
      </c>
      <c r="C21" s="335">
        <v>35000</v>
      </c>
      <c r="D21" s="4">
        <v>35000</v>
      </c>
      <c r="E21" s="4">
        <v>35000</v>
      </c>
    </row>
    <row r="22" spans="1:5" ht="15" x14ac:dyDescent="0.25">
      <c r="A22" s="331" t="s">
        <v>128</v>
      </c>
      <c r="B22" s="336" t="s">
        <v>129</v>
      </c>
      <c r="C22" s="335">
        <v>1000</v>
      </c>
      <c r="D22" s="4">
        <v>1000</v>
      </c>
      <c r="E22" s="4">
        <v>75000</v>
      </c>
    </row>
    <row r="23" spans="1:5" ht="15" x14ac:dyDescent="0.25">
      <c r="A23" s="331" t="s">
        <v>130</v>
      </c>
      <c r="B23" s="336" t="s">
        <v>131</v>
      </c>
      <c r="C23" s="335">
        <v>15000</v>
      </c>
      <c r="D23" s="4">
        <v>15000</v>
      </c>
      <c r="E23" s="4">
        <v>15000</v>
      </c>
    </row>
    <row r="24" spans="1:5" ht="15" x14ac:dyDescent="0.25">
      <c r="A24" s="331" t="s">
        <v>132</v>
      </c>
      <c r="B24" s="336" t="s">
        <v>133</v>
      </c>
      <c r="C24" s="335"/>
      <c r="D24" s="4"/>
      <c r="E24" s="4"/>
    </row>
    <row r="25" spans="1:5" ht="15" x14ac:dyDescent="0.25">
      <c r="A25" s="331" t="s">
        <v>134</v>
      </c>
      <c r="B25" s="336" t="s">
        <v>135</v>
      </c>
      <c r="C25" s="337">
        <v>25000</v>
      </c>
      <c r="D25" s="146">
        <v>35000</v>
      </c>
      <c r="E25" s="146">
        <v>10000</v>
      </c>
    </row>
    <row r="26" spans="1:5" ht="15" x14ac:dyDescent="0.25">
      <c r="A26" s="331" t="s">
        <v>136</v>
      </c>
      <c r="B26" s="336" t="s">
        <v>137</v>
      </c>
      <c r="C26" s="337">
        <v>25200</v>
      </c>
      <c r="D26" s="146">
        <v>25200</v>
      </c>
      <c r="E26" s="146">
        <v>25200</v>
      </c>
    </row>
    <row r="27" spans="1:5" ht="15" x14ac:dyDescent="0.25">
      <c r="A27" s="331" t="s">
        <v>138</v>
      </c>
      <c r="B27" s="336" t="s">
        <v>139</v>
      </c>
      <c r="C27" s="337"/>
      <c r="D27" s="146"/>
      <c r="E27" s="146"/>
    </row>
    <row r="28" spans="1:5" ht="15" x14ac:dyDescent="0.25">
      <c r="A28" s="331"/>
      <c r="B28" s="336" t="s">
        <v>140</v>
      </c>
      <c r="C28" s="337"/>
      <c r="D28" s="4"/>
      <c r="E28" s="4"/>
    </row>
    <row r="29" spans="1:5" ht="15" x14ac:dyDescent="0.25">
      <c r="A29" s="331"/>
      <c r="B29" s="336" t="s">
        <v>1391</v>
      </c>
      <c r="C29" s="337">
        <v>6000</v>
      </c>
      <c r="D29" s="146">
        <v>6000</v>
      </c>
      <c r="E29" s="146">
        <v>6000</v>
      </c>
    </row>
    <row r="30" spans="1:5" ht="15" hidden="1" x14ac:dyDescent="0.25">
      <c r="A30" s="331"/>
      <c r="B30" s="336" t="s">
        <v>1344</v>
      </c>
      <c r="C30" s="337"/>
      <c r="D30" s="146"/>
      <c r="E30" s="146"/>
    </row>
    <row r="31" spans="1:5" ht="15" x14ac:dyDescent="0.25">
      <c r="A31" s="331"/>
      <c r="B31" s="336" t="s">
        <v>141</v>
      </c>
      <c r="C31" s="337">
        <v>18000</v>
      </c>
      <c r="D31" s="146">
        <v>15000</v>
      </c>
      <c r="E31" s="146">
        <v>15000</v>
      </c>
    </row>
    <row r="32" spans="1:5" ht="15" x14ac:dyDescent="0.25">
      <c r="A32" s="331"/>
      <c r="B32" s="336" t="s">
        <v>142</v>
      </c>
      <c r="C32" s="337">
        <v>29500</v>
      </c>
      <c r="D32" s="146">
        <v>29500</v>
      </c>
      <c r="E32" s="146">
        <v>29500</v>
      </c>
    </row>
    <row r="33" spans="1:5" ht="15" hidden="1" x14ac:dyDescent="0.25">
      <c r="A33" s="331"/>
      <c r="B33" s="336" t="s">
        <v>143</v>
      </c>
      <c r="C33" s="337">
        <v>37292.449999999997</v>
      </c>
      <c r="D33" s="146"/>
      <c r="E33" s="146"/>
    </row>
    <row r="34" spans="1:5" ht="15" x14ac:dyDescent="0.25">
      <c r="A34" s="331"/>
      <c r="B34" s="336" t="s">
        <v>1544</v>
      </c>
      <c r="C34" s="337"/>
      <c r="D34" s="146">
        <v>40000</v>
      </c>
      <c r="E34" s="622"/>
    </row>
    <row r="35" spans="1:5" ht="15" x14ac:dyDescent="0.25">
      <c r="A35" s="331"/>
      <c r="B35" s="338" t="s">
        <v>1560</v>
      </c>
      <c r="C35" s="337"/>
      <c r="D35" s="146">
        <v>200000</v>
      </c>
      <c r="E35" s="146"/>
    </row>
    <row r="36" spans="1:5" ht="15" hidden="1" x14ac:dyDescent="0.25">
      <c r="A36" s="331"/>
      <c r="B36" s="338" t="s">
        <v>1554</v>
      </c>
      <c r="C36" s="337"/>
      <c r="D36" s="146"/>
      <c r="E36" s="146"/>
    </row>
    <row r="37" spans="1:5" ht="15" x14ac:dyDescent="0.25">
      <c r="A37" s="331"/>
      <c r="B37" s="336" t="s">
        <v>1555</v>
      </c>
      <c r="C37" s="337"/>
      <c r="D37" s="230">
        <v>59566.07</v>
      </c>
      <c r="E37" s="565">
        <v>62951.721270000002</v>
      </c>
    </row>
    <row r="38" spans="1:5" ht="15" x14ac:dyDescent="0.25">
      <c r="A38" s="331"/>
      <c r="B38" s="339" t="s">
        <v>144</v>
      </c>
      <c r="C38" s="337">
        <f ca="1">SUM(C3:C40)</f>
        <v>3023835.74</v>
      </c>
      <c r="D38" s="146">
        <f>SUM(D3:D37)</f>
        <v>3489148.2891999995</v>
      </c>
      <c r="E38" s="146">
        <f>SUM(E3:E37)</f>
        <v>3583033.5977700003</v>
      </c>
    </row>
    <row r="39" spans="1:5" ht="15" x14ac:dyDescent="0.25">
      <c r="A39" s="340"/>
      <c r="B39" s="341"/>
      <c r="C39" s="337"/>
      <c r="D39" s="146"/>
      <c r="E39" s="42"/>
    </row>
    <row r="40" spans="1:5" ht="15" x14ac:dyDescent="0.25">
      <c r="A40" s="29"/>
      <c r="B40" s="29"/>
      <c r="C40" s="305"/>
      <c r="D40" s="7"/>
      <c r="E40" s="42"/>
    </row>
    <row r="41" spans="1:5" ht="15" x14ac:dyDescent="0.25">
      <c r="A41" s="331" t="s">
        <v>1395</v>
      </c>
      <c r="B41" s="336" t="s">
        <v>1396</v>
      </c>
      <c r="C41" s="337">
        <v>173774.80506100002</v>
      </c>
      <c r="D41" s="146">
        <f>SUM(D$98)/100*0.034*0.96</f>
        <v>173338.42529279998</v>
      </c>
      <c r="E41" s="406">
        <v>181644</v>
      </c>
    </row>
    <row r="42" spans="1:5" ht="15" x14ac:dyDescent="0.25">
      <c r="A42" s="305"/>
      <c r="B42" s="342"/>
      <c r="C42" s="305"/>
      <c r="D42" s="7"/>
      <c r="E42" s="42"/>
    </row>
    <row r="43" spans="1:5" ht="15" x14ac:dyDescent="0.25">
      <c r="A43" s="305"/>
      <c r="B43" s="342"/>
      <c r="C43" s="337">
        <f ca="1">SUM(C38:C41)</f>
        <v>3197610.5450610002</v>
      </c>
      <c r="D43" s="146">
        <f>SUM(D$38+D$41)</f>
        <v>3662486.7144927997</v>
      </c>
      <c r="E43" s="146">
        <f>SUM(E$38+E$41)</f>
        <v>3764677.5977700003</v>
      </c>
    </row>
    <row r="44" spans="1:5" ht="15" x14ac:dyDescent="0.25">
      <c r="A44" s="305"/>
      <c r="B44" s="342"/>
      <c r="C44" s="337"/>
      <c r="D44" s="146"/>
      <c r="E44" s="42"/>
    </row>
    <row r="45" spans="1:5" ht="15" x14ac:dyDescent="0.25">
      <c r="A45" s="331"/>
      <c r="B45" s="336"/>
      <c r="C45" s="337"/>
      <c r="D45" s="4"/>
      <c r="E45" s="42"/>
    </row>
    <row r="46" spans="1:5" ht="15" x14ac:dyDescent="0.25">
      <c r="A46" s="331"/>
      <c r="B46" s="334" t="s">
        <v>29</v>
      </c>
      <c r="C46" s="337"/>
      <c r="D46" s="4"/>
      <c r="E46" s="42"/>
    </row>
    <row r="47" spans="1:5" ht="15" x14ac:dyDescent="0.25">
      <c r="A47" s="331" t="s">
        <v>145</v>
      </c>
      <c r="B47" s="336" t="s">
        <v>146</v>
      </c>
      <c r="C47" s="335">
        <v>6625</v>
      </c>
      <c r="D47" s="4">
        <v>6625</v>
      </c>
      <c r="E47" s="145">
        <v>6625</v>
      </c>
    </row>
    <row r="48" spans="1:5" ht="15" x14ac:dyDescent="0.25">
      <c r="A48" s="331" t="s">
        <v>147</v>
      </c>
      <c r="B48" s="336" t="s">
        <v>148</v>
      </c>
      <c r="C48" s="335">
        <v>79909.0504545</v>
      </c>
      <c r="D48" s="599">
        <v>147133.66</v>
      </c>
      <c r="E48" s="145">
        <v>185387.2176</v>
      </c>
    </row>
    <row r="49" spans="1:7" ht="15" x14ac:dyDescent="0.25">
      <c r="A49" s="331" t="s">
        <v>149</v>
      </c>
      <c r="B49" s="336" t="s">
        <v>150</v>
      </c>
      <c r="C49" s="343">
        <v>87718.024600000004</v>
      </c>
      <c r="D49" s="145">
        <v>55430.295199999993</v>
      </c>
      <c r="E49" s="145">
        <v>87294.31</v>
      </c>
    </row>
    <row r="50" spans="1:7" ht="15" x14ac:dyDescent="0.25">
      <c r="A50" s="331"/>
      <c r="B50" s="336" t="s">
        <v>1627</v>
      </c>
      <c r="C50" s="343"/>
      <c r="D50" s="145">
        <v>50000</v>
      </c>
      <c r="E50" s="44"/>
    </row>
    <row r="51" spans="1:7" ht="15" x14ac:dyDescent="0.25">
      <c r="A51" s="331" t="s">
        <v>151</v>
      </c>
      <c r="B51" s="336" t="s">
        <v>152</v>
      </c>
      <c r="C51" s="335">
        <v>65000</v>
      </c>
      <c r="D51" s="145">
        <v>70000</v>
      </c>
      <c r="E51" s="145">
        <v>70000</v>
      </c>
    </row>
    <row r="52" spans="1:7" ht="15" x14ac:dyDescent="0.25">
      <c r="A52" s="331"/>
      <c r="B52" s="344" t="s">
        <v>153</v>
      </c>
      <c r="C52" s="335">
        <v>20000</v>
      </c>
      <c r="D52" s="4">
        <v>20000</v>
      </c>
      <c r="E52" s="145">
        <v>20000</v>
      </c>
    </row>
    <row r="53" spans="1:7" ht="15" x14ac:dyDescent="0.25">
      <c r="A53" s="331"/>
      <c r="B53" s="29"/>
      <c r="C53" s="335"/>
      <c r="D53" s="41"/>
      <c r="E53" s="405"/>
    </row>
    <row r="54" spans="1:7" ht="15" x14ac:dyDescent="0.25">
      <c r="A54" s="331"/>
      <c r="B54" s="339" t="s">
        <v>144</v>
      </c>
      <c r="C54" s="335">
        <f>SUM(C47:C53)</f>
        <v>259252.07505450002</v>
      </c>
      <c r="D54" s="145">
        <f>SUM(D47:D52)</f>
        <v>349188.95519999997</v>
      </c>
      <c r="E54" s="145">
        <f>SUM(E47:E52)</f>
        <v>369306.52760000003</v>
      </c>
    </row>
    <row r="55" spans="1:7" ht="15" x14ac:dyDescent="0.25">
      <c r="A55" s="331"/>
      <c r="B55" s="336"/>
      <c r="C55" s="335"/>
      <c r="D55" s="145"/>
      <c r="E55" s="42"/>
    </row>
    <row r="56" spans="1:7" ht="15" x14ac:dyDescent="0.25">
      <c r="A56" s="331"/>
      <c r="B56" s="336"/>
      <c r="C56" s="335"/>
      <c r="D56" s="599"/>
      <c r="E56" s="42"/>
    </row>
    <row r="57" spans="1:7" ht="15" x14ac:dyDescent="0.25">
      <c r="A57" s="331"/>
      <c r="B57" s="334" t="s">
        <v>30</v>
      </c>
      <c r="C57" s="305"/>
      <c r="D57" s="7"/>
      <c r="E57" s="42"/>
    </row>
    <row r="58" spans="1:7" ht="15" x14ac:dyDescent="0.25">
      <c r="A58" s="331" t="s">
        <v>154</v>
      </c>
      <c r="B58" s="336" t="s">
        <v>146</v>
      </c>
      <c r="C58" s="335">
        <v>6625</v>
      </c>
      <c r="D58" s="4">
        <v>6625</v>
      </c>
      <c r="E58" s="145">
        <v>6625</v>
      </c>
    </row>
    <row r="59" spans="1:7" ht="15" x14ac:dyDescent="0.25">
      <c r="A59" s="331" t="s">
        <v>155</v>
      </c>
      <c r="B59" s="336" t="s">
        <v>148</v>
      </c>
      <c r="C59" s="335">
        <v>79909.0504545</v>
      </c>
      <c r="D59" s="599">
        <v>147133.66</v>
      </c>
      <c r="E59" s="145">
        <v>185387.2176</v>
      </c>
    </row>
    <row r="60" spans="1:7" ht="15" x14ac:dyDescent="0.25">
      <c r="A60" s="331" t="s">
        <v>156</v>
      </c>
      <c r="B60" s="336" t="s">
        <v>150</v>
      </c>
      <c r="C60" s="343">
        <v>87718.024600000004</v>
      </c>
      <c r="D60" s="145">
        <v>55430.295199999993</v>
      </c>
      <c r="E60" s="145">
        <v>87294.31</v>
      </c>
    </row>
    <row r="61" spans="1:7" ht="15" x14ac:dyDescent="0.25">
      <c r="A61" s="331"/>
      <c r="B61" s="336" t="s">
        <v>1676</v>
      </c>
      <c r="C61" s="343"/>
      <c r="D61" s="407"/>
      <c r="E61" s="594">
        <v>-75000</v>
      </c>
    </row>
    <row r="62" spans="1:7" ht="15" x14ac:dyDescent="0.25">
      <c r="A62" s="331" t="s">
        <v>157</v>
      </c>
      <c r="B62" s="336" t="s">
        <v>152</v>
      </c>
      <c r="C62" s="335">
        <v>65000</v>
      </c>
      <c r="D62" s="145">
        <v>70000</v>
      </c>
      <c r="E62" s="145">
        <v>70000</v>
      </c>
      <c r="G62" s="242"/>
    </row>
    <row r="63" spans="1:7" ht="15" x14ac:dyDescent="0.25">
      <c r="A63" s="184"/>
      <c r="B63" s="344" t="s">
        <v>153</v>
      </c>
      <c r="C63" s="335">
        <v>20000</v>
      </c>
      <c r="D63" s="4">
        <v>20000</v>
      </c>
      <c r="E63" s="145">
        <v>20000</v>
      </c>
    </row>
    <row r="64" spans="1:7" ht="15" x14ac:dyDescent="0.25">
      <c r="A64" s="331" t="s">
        <v>158</v>
      </c>
      <c r="B64" s="336" t="s">
        <v>159</v>
      </c>
      <c r="C64" s="345">
        <v>-100000</v>
      </c>
      <c r="D64" s="145"/>
      <c r="E64" s="405"/>
    </row>
    <row r="65" spans="1:5" ht="15" x14ac:dyDescent="0.25">
      <c r="A65" s="331"/>
      <c r="B65" s="336"/>
      <c r="C65" s="345"/>
      <c r="D65" s="41"/>
      <c r="E65" s="44"/>
    </row>
    <row r="66" spans="1:5" ht="15" x14ac:dyDescent="0.25">
      <c r="A66" s="331"/>
      <c r="B66" s="339" t="s">
        <v>144</v>
      </c>
      <c r="C66" s="335">
        <f>SUM(C58:C64)</f>
        <v>159252.07505450002</v>
      </c>
      <c r="D66" s="145">
        <f>SUM(D58:D63)</f>
        <v>299188.95519999997</v>
      </c>
      <c r="E66" s="145">
        <f>SUM(E58:E63)</f>
        <v>294306.52760000003</v>
      </c>
    </row>
    <row r="67" spans="1:5" ht="15" x14ac:dyDescent="0.25">
      <c r="A67" s="331"/>
      <c r="B67" s="339"/>
      <c r="C67" s="335"/>
      <c r="D67" s="4"/>
      <c r="E67" s="42"/>
    </row>
    <row r="68" spans="1:5" ht="15" x14ac:dyDescent="0.25">
      <c r="A68" s="331"/>
      <c r="B68" s="334" t="s">
        <v>31</v>
      </c>
      <c r="C68" s="335"/>
      <c r="D68" s="7"/>
      <c r="E68" s="42"/>
    </row>
    <row r="69" spans="1:5" ht="15" x14ac:dyDescent="0.25">
      <c r="A69" s="331" t="s">
        <v>160</v>
      </c>
      <c r="B69" s="336" t="s">
        <v>146</v>
      </c>
      <c r="C69" s="343">
        <v>6625</v>
      </c>
      <c r="D69" s="4">
        <v>6625</v>
      </c>
      <c r="E69" s="145">
        <v>6625</v>
      </c>
    </row>
    <row r="70" spans="1:5" ht="15" x14ac:dyDescent="0.25">
      <c r="A70" s="331" t="s">
        <v>161</v>
      </c>
      <c r="B70" s="336" t="s">
        <v>148</v>
      </c>
      <c r="C70" s="335">
        <v>79909.0504545</v>
      </c>
      <c r="D70" s="599">
        <v>147133.66</v>
      </c>
      <c r="E70" s="145">
        <v>185387.2176</v>
      </c>
    </row>
    <row r="71" spans="1:5" ht="15" x14ac:dyDescent="0.25">
      <c r="A71" s="331" t="s">
        <v>162</v>
      </c>
      <c r="B71" s="336" t="s">
        <v>150</v>
      </c>
      <c r="C71" s="343">
        <v>87718.024600000004</v>
      </c>
      <c r="D71" s="145">
        <v>55430.295199999993</v>
      </c>
      <c r="E71" s="145">
        <v>87294.31</v>
      </c>
    </row>
    <row r="72" spans="1:5" ht="15" x14ac:dyDescent="0.25">
      <c r="A72" s="331"/>
      <c r="B72" s="336" t="s">
        <v>1676</v>
      </c>
      <c r="C72" s="343"/>
      <c r="D72" s="417">
        <v>50000</v>
      </c>
      <c r="E72" s="596">
        <v>75000</v>
      </c>
    </row>
    <row r="73" spans="1:5" ht="15" x14ac:dyDescent="0.25">
      <c r="A73" s="331" t="s">
        <v>163</v>
      </c>
      <c r="B73" s="336" t="s">
        <v>152</v>
      </c>
      <c r="C73" s="335">
        <v>65000</v>
      </c>
      <c r="D73" s="417">
        <v>70000</v>
      </c>
      <c r="E73" s="145">
        <v>70000</v>
      </c>
    </row>
    <row r="74" spans="1:5" ht="15" x14ac:dyDescent="0.25">
      <c r="A74" s="331"/>
      <c r="B74" s="344" t="s">
        <v>153</v>
      </c>
      <c r="C74" s="335">
        <v>20000</v>
      </c>
      <c r="D74" s="4">
        <v>20000</v>
      </c>
      <c r="E74" s="145">
        <v>20000</v>
      </c>
    </row>
    <row r="75" spans="1:5" ht="15" x14ac:dyDescent="0.25">
      <c r="A75" s="331"/>
      <c r="B75" s="29"/>
      <c r="C75" s="335">
        <v>29887.56</v>
      </c>
      <c r="D75" s="407"/>
      <c r="E75" s="44"/>
    </row>
    <row r="76" spans="1:5" ht="15" x14ac:dyDescent="0.25">
      <c r="A76" s="331"/>
      <c r="B76" s="339" t="s">
        <v>144</v>
      </c>
      <c r="C76" s="335">
        <f ca="1">SUM(C69:C76)</f>
        <v>289139.63505450002</v>
      </c>
      <c r="D76" s="145">
        <f>SUM(D69:D74)</f>
        <v>349188.95519999997</v>
      </c>
      <c r="E76" s="145">
        <f>SUM(E69:E74)</f>
        <v>444306.52760000003</v>
      </c>
    </row>
    <row r="77" spans="1:5" ht="15" x14ac:dyDescent="0.25">
      <c r="A77" s="331"/>
      <c r="B77" s="334" t="s">
        <v>32</v>
      </c>
      <c r="C77" s="346"/>
      <c r="D77" s="4"/>
      <c r="E77" s="42"/>
    </row>
    <row r="78" spans="1:5" ht="15" x14ac:dyDescent="0.25">
      <c r="A78" s="331" t="s">
        <v>164</v>
      </c>
      <c r="B78" s="336" t="s">
        <v>146</v>
      </c>
      <c r="C78" s="335">
        <v>6625</v>
      </c>
      <c r="D78" s="4">
        <v>6625</v>
      </c>
      <c r="E78" s="145">
        <v>6625</v>
      </c>
    </row>
    <row r="79" spans="1:5" ht="15" x14ac:dyDescent="0.25">
      <c r="A79" s="331" t="s">
        <v>165</v>
      </c>
      <c r="B79" s="336" t="s">
        <v>148</v>
      </c>
      <c r="C79" s="335">
        <v>79909.0504545</v>
      </c>
      <c r="D79" s="599">
        <v>147133.66</v>
      </c>
      <c r="E79" s="145">
        <v>185387.2176</v>
      </c>
    </row>
    <row r="80" spans="1:5" ht="15" x14ac:dyDescent="0.25">
      <c r="A80" s="331" t="s">
        <v>166</v>
      </c>
      <c r="B80" s="336" t="s">
        <v>150</v>
      </c>
      <c r="C80" s="343">
        <v>87718.024600000004</v>
      </c>
      <c r="D80" s="145">
        <v>55430.295199999993</v>
      </c>
      <c r="E80" s="145">
        <v>87294.31</v>
      </c>
    </row>
    <row r="81" spans="1:6" ht="15" x14ac:dyDescent="0.25">
      <c r="A81" s="331"/>
      <c r="B81" s="336" t="s">
        <v>1627</v>
      </c>
      <c r="C81" s="343"/>
      <c r="D81" s="145">
        <v>50000</v>
      </c>
      <c r="E81" s="405"/>
    </row>
    <row r="82" spans="1:6" ht="15" x14ac:dyDescent="0.25">
      <c r="A82" s="331" t="s">
        <v>167</v>
      </c>
      <c r="B82" s="336" t="s">
        <v>152</v>
      </c>
      <c r="C82" s="335">
        <v>65000</v>
      </c>
      <c r="D82" s="145">
        <v>70000</v>
      </c>
      <c r="E82" s="145">
        <v>70000</v>
      </c>
    </row>
    <row r="83" spans="1:6" ht="15" x14ac:dyDescent="0.25">
      <c r="A83" s="331"/>
      <c r="B83" s="344" t="s">
        <v>153</v>
      </c>
      <c r="C83" s="335">
        <v>20000</v>
      </c>
      <c r="D83" s="145">
        <v>20000</v>
      </c>
      <c r="E83" s="145">
        <v>20000</v>
      </c>
    </row>
    <row r="84" spans="1:6" ht="15" x14ac:dyDescent="0.25">
      <c r="A84" s="184"/>
      <c r="B84" s="29"/>
      <c r="C84" s="343">
        <v>50000</v>
      </c>
      <c r="D84" s="146"/>
      <c r="E84" s="44"/>
    </row>
    <row r="85" spans="1:6" ht="15" x14ac:dyDescent="0.25">
      <c r="A85" s="184"/>
      <c r="B85" s="339" t="s">
        <v>144</v>
      </c>
      <c r="C85" s="335">
        <f>SUM(C78:C84)</f>
        <v>309252.07505450002</v>
      </c>
      <c r="D85" s="146">
        <f>SUM(D78:D83)</f>
        <v>349188.95519999997</v>
      </c>
      <c r="E85" s="145">
        <f>SUM(E78:E83)</f>
        <v>369306.52760000003</v>
      </c>
    </row>
    <row r="86" spans="1:6" ht="15" x14ac:dyDescent="0.25">
      <c r="A86" s="184"/>
      <c r="B86" s="339"/>
      <c r="C86" s="335"/>
      <c r="D86" s="245"/>
      <c r="E86" s="145"/>
    </row>
    <row r="87" spans="1:6" ht="15" x14ac:dyDescent="0.25">
      <c r="A87" s="184"/>
      <c r="B87" s="339" t="s">
        <v>168</v>
      </c>
      <c r="C87" s="335">
        <f ca="1">+SUM($C54+$C66+$C76+$C85)</f>
        <v>1016895.8602180001</v>
      </c>
      <c r="D87" s="4">
        <f>SUM(D$54+D$66+D$76+D$85)</f>
        <v>1346755.8207999999</v>
      </c>
      <c r="E87" s="4">
        <f>SUM(E$54+E$66+E$76+E$85)</f>
        <v>1477226.1104000001</v>
      </c>
    </row>
    <row r="88" spans="1:6" ht="15" x14ac:dyDescent="0.25">
      <c r="A88" s="184"/>
      <c r="B88" s="347"/>
      <c r="C88" s="348"/>
      <c r="D88" s="146"/>
      <c r="E88" s="44"/>
    </row>
    <row r="89" spans="1:6" ht="15" x14ac:dyDescent="0.25">
      <c r="A89" s="184"/>
      <c r="B89" s="347"/>
      <c r="C89" s="349"/>
      <c r="D89" s="146"/>
      <c r="E89" s="42"/>
    </row>
    <row r="90" spans="1:6" ht="15" x14ac:dyDescent="0.25">
      <c r="A90" s="184"/>
      <c r="B90" s="336" t="s">
        <v>170</v>
      </c>
      <c r="C90" s="335">
        <v>385000</v>
      </c>
      <c r="D90" s="146">
        <v>708000</v>
      </c>
      <c r="E90" s="406">
        <v>950000</v>
      </c>
    </row>
    <row r="91" spans="1:6" ht="15" x14ac:dyDescent="0.25">
      <c r="A91" s="184"/>
      <c r="B91" s="336" t="s">
        <v>171</v>
      </c>
      <c r="C91" s="335">
        <v>568850</v>
      </c>
      <c r="D91" s="146">
        <v>683163</v>
      </c>
      <c r="E91" s="7">
        <v>959311.77000000014</v>
      </c>
    </row>
    <row r="92" spans="1:6" ht="15" x14ac:dyDescent="0.25">
      <c r="A92" s="184"/>
      <c r="B92" s="336"/>
      <c r="C92" s="335">
        <f>SUM(C90:C91)</f>
        <v>953850</v>
      </c>
      <c r="D92" s="7">
        <f>SUM(D90:D91)</f>
        <v>1391163</v>
      </c>
      <c r="E92" s="406">
        <f>SUM(E90:E91)</f>
        <v>1909311.77</v>
      </c>
    </row>
    <row r="93" spans="1:6" ht="15" x14ac:dyDescent="0.25">
      <c r="A93" s="184"/>
      <c r="B93" s="336"/>
      <c r="C93" s="335"/>
      <c r="D93" s="407"/>
      <c r="E93" s="42"/>
    </row>
    <row r="94" spans="1:6" ht="15" x14ac:dyDescent="0.25">
      <c r="A94" s="184"/>
      <c r="B94" s="336"/>
      <c r="C94" s="335"/>
      <c r="D94" s="407"/>
      <c r="E94" s="406"/>
      <c r="F94" s="7">
        <f>SUM(B94:E94)</f>
        <v>0</v>
      </c>
    </row>
    <row r="95" spans="1:6" ht="15" x14ac:dyDescent="0.25">
      <c r="A95" s="184"/>
      <c r="B95" s="336" t="s">
        <v>82</v>
      </c>
      <c r="C95" s="335">
        <f ca="1">SUM(C43+C87)</f>
        <v>4214506.4052790003</v>
      </c>
      <c r="D95" s="146">
        <f>SUM(D92+D38+D41)</f>
        <v>5053649.7144927997</v>
      </c>
      <c r="E95" s="406"/>
    </row>
    <row r="96" spans="1:6" ht="15" x14ac:dyDescent="0.25">
      <c r="A96" s="184"/>
      <c r="B96" s="336"/>
      <c r="C96" s="305"/>
      <c r="D96" s="146"/>
      <c r="E96" s="42"/>
    </row>
    <row r="97" spans="1:6" ht="15" x14ac:dyDescent="0.25">
      <c r="A97" s="184"/>
      <c r="B97" s="336" t="s">
        <v>172</v>
      </c>
      <c r="C97" s="335">
        <v>12942635</v>
      </c>
      <c r="D97" s="146">
        <v>15104079</v>
      </c>
      <c r="E97" s="406">
        <v>14344071</v>
      </c>
    </row>
    <row r="98" spans="1:6" ht="15" x14ac:dyDescent="0.25">
      <c r="A98" s="184"/>
      <c r="B98" s="336" t="s">
        <v>173</v>
      </c>
      <c r="C98" s="335">
        <v>414022488</v>
      </c>
      <c r="D98" s="4">
        <v>531061352</v>
      </c>
      <c r="E98" s="406">
        <v>553296346</v>
      </c>
      <c r="F98" s="240"/>
    </row>
    <row r="99" spans="1:6" ht="15" x14ac:dyDescent="0.25">
      <c r="A99" s="184"/>
      <c r="B99" s="336" t="s">
        <v>174</v>
      </c>
      <c r="C99" s="335">
        <v>411592045</v>
      </c>
      <c r="D99" s="7">
        <v>529122388</v>
      </c>
      <c r="E99" s="406">
        <v>551078137</v>
      </c>
      <c r="F99" s="240"/>
    </row>
    <row r="100" spans="1:6" ht="15" x14ac:dyDescent="0.25">
      <c r="A100" s="184"/>
      <c r="B100" s="336" t="s">
        <v>175</v>
      </c>
      <c r="C100" s="337">
        <v>1066895.8602179999</v>
      </c>
      <c r="D100" s="146">
        <v>1396755.8075999999</v>
      </c>
      <c r="E100" s="7">
        <v>1194307.0432</v>
      </c>
      <c r="F100" s="7"/>
    </row>
    <row r="101" spans="1:6" ht="15" x14ac:dyDescent="0.25">
      <c r="A101" s="184"/>
      <c r="B101" s="336" t="s">
        <v>176</v>
      </c>
      <c r="C101" s="337"/>
      <c r="D101" s="146">
        <f>SUM(D$38+D$41)</f>
        <v>3662486.7144927997</v>
      </c>
      <c r="E101" s="146">
        <v>3623033.5977700003</v>
      </c>
    </row>
    <row r="102" spans="1:6" ht="15" x14ac:dyDescent="0.25">
      <c r="A102" s="184"/>
      <c r="B102" s="336"/>
      <c r="C102" s="305"/>
      <c r="D102" s="146"/>
      <c r="E102" s="42"/>
    </row>
    <row r="103" spans="1:6" ht="14.25" x14ac:dyDescent="0.2">
      <c r="A103" s="184"/>
      <c r="B103" s="336"/>
      <c r="C103" s="305"/>
      <c r="D103" s="243"/>
      <c r="E103" s="42"/>
    </row>
    <row r="104" spans="1:6" ht="15" x14ac:dyDescent="0.25">
      <c r="A104" s="184"/>
      <c r="B104" s="336"/>
      <c r="C104" s="335"/>
      <c r="D104" s="7"/>
      <c r="E104" s="42"/>
    </row>
    <row r="105" spans="1:6" ht="15" x14ac:dyDescent="0.25">
      <c r="A105" s="184"/>
      <c r="B105" s="336" t="s">
        <v>181</v>
      </c>
      <c r="C105" s="335">
        <v>0.52</v>
      </c>
      <c r="D105" s="595">
        <v>0.46</v>
      </c>
      <c r="E105" s="337">
        <v>0.45</v>
      </c>
    </row>
    <row r="106" spans="1:6" ht="15" x14ac:dyDescent="0.25">
      <c r="A106" s="184"/>
      <c r="B106" s="336" t="s">
        <v>182</v>
      </c>
      <c r="C106" s="335">
        <v>8.6999999999999994E-2</v>
      </c>
      <c r="D106" s="595">
        <v>0.11</v>
      </c>
      <c r="E106" s="597">
        <v>0.1</v>
      </c>
    </row>
    <row r="107" spans="1:6" ht="15" x14ac:dyDescent="0.25">
      <c r="A107" s="184"/>
      <c r="B107" s="336" t="s">
        <v>183</v>
      </c>
      <c r="C107" s="335">
        <v>7.3700000000000002E-2</v>
      </c>
      <c r="D107" s="595">
        <v>0.04</v>
      </c>
      <c r="E107" s="337">
        <v>0.04</v>
      </c>
    </row>
    <row r="108" spans="1:6" ht="15" x14ac:dyDescent="0.25">
      <c r="A108" s="184"/>
      <c r="B108" s="336" t="s">
        <v>1388</v>
      </c>
      <c r="C108" s="335">
        <v>4.07E-2</v>
      </c>
      <c r="D108" s="595">
        <v>3.4000000000000002E-2</v>
      </c>
      <c r="E108" s="337">
        <v>3.2000000000000001E-2</v>
      </c>
    </row>
    <row r="109" spans="1:6" ht="15" x14ac:dyDescent="0.25">
      <c r="A109" s="184"/>
      <c r="B109" s="344" t="s">
        <v>1556</v>
      </c>
      <c r="C109" s="335">
        <f>SUM(C105:C108)</f>
        <v>0.72139999999999993</v>
      </c>
      <c r="D109" s="598">
        <f>SUM(D105:D108)</f>
        <v>0.64400000000000013</v>
      </c>
      <c r="E109" s="598">
        <f>SUM(E105:E108)</f>
        <v>0.62200000000000011</v>
      </c>
    </row>
    <row r="110" spans="1:6" ht="15" x14ac:dyDescent="0.25">
      <c r="A110" s="184"/>
      <c r="B110" s="336"/>
      <c r="C110" s="335"/>
      <c r="D110" s="146"/>
      <c r="E110" s="42"/>
    </row>
    <row r="111" spans="1:6" ht="15" x14ac:dyDescent="0.25">
      <c r="A111" s="184"/>
      <c r="B111" s="336"/>
      <c r="C111" s="337"/>
      <c r="D111" s="7"/>
      <c r="E111" s="42"/>
    </row>
    <row r="112" spans="1:6" ht="15" x14ac:dyDescent="0.25">
      <c r="A112" s="184"/>
      <c r="B112" s="336" t="s">
        <v>179</v>
      </c>
      <c r="C112" s="337"/>
      <c r="D112" s="146">
        <v>53105.295199999993</v>
      </c>
      <c r="E112" s="4">
        <f>+SUM(E97:E98)/10000</f>
        <v>56764.041700000002</v>
      </c>
    </row>
    <row r="113" spans="1:5" ht="28.5" x14ac:dyDescent="0.25">
      <c r="A113" s="184"/>
      <c r="B113" s="350" t="s">
        <v>180</v>
      </c>
      <c r="C113" s="335"/>
      <c r="D113" s="146">
        <v>52911.398800000003</v>
      </c>
      <c r="E113" s="4">
        <f>SUM(E99+E97)/10000</f>
        <v>56542.220800000003</v>
      </c>
    </row>
    <row r="114" spans="1:5" ht="15" x14ac:dyDescent="0.25">
      <c r="A114" s="184"/>
      <c r="B114" s="351"/>
      <c r="C114" s="335"/>
      <c r="D114" s="7"/>
      <c r="E114" s="44"/>
    </row>
    <row r="115" spans="1:5" ht="14.25" x14ac:dyDescent="0.2">
      <c r="A115" s="184"/>
      <c r="B115" s="305"/>
      <c r="C115" s="305"/>
      <c r="D115" s="243"/>
      <c r="E115" s="44"/>
    </row>
    <row r="116" spans="1:5" x14ac:dyDescent="0.2">
      <c r="C116" s="39"/>
      <c r="D116" s="240"/>
    </row>
    <row r="117" spans="1:5" x14ac:dyDescent="0.2">
      <c r="C117" s="39"/>
      <c r="D117" s="240"/>
    </row>
    <row r="118" spans="1:5" x14ac:dyDescent="0.2">
      <c r="C118" s="39"/>
      <c r="D118" s="240"/>
    </row>
    <row r="119" spans="1:5" x14ac:dyDescent="0.2">
      <c r="C119" s="39"/>
      <c r="D119" s="240"/>
    </row>
    <row r="120" spans="1:5" x14ac:dyDescent="0.2">
      <c r="C120" s="39"/>
      <c r="D120" s="240"/>
    </row>
    <row r="121" spans="1:5" x14ac:dyDescent="0.2">
      <c r="C121" s="39"/>
      <c r="D121" s="240"/>
    </row>
    <row r="122" spans="1:5" x14ac:dyDescent="0.2">
      <c r="C122" s="39"/>
      <c r="D122" s="240"/>
    </row>
    <row r="123" spans="1:5" x14ac:dyDescent="0.2">
      <c r="C123" s="39"/>
      <c r="D123" s="240"/>
    </row>
    <row r="124" spans="1:5" x14ac:dyDescent="0.2">
      <c r="C124" s="39"/>
      <c r="D124" s="240"/>
    </row>
    <row r="125" spans="1:5" x14ac:dyDescent="0.2">
      <c r="C125" s="39"/>
      <c r="D125" s="240"/>
    </row>
    <row r="126" spans="1:5" x14ac:dyDescent="0.2">
      <c r="C126" s="39"/>
      <c r="D126" s="240"/>
    </row>
    <row r="127" spans="1:5" x14ac:dyDescent="0.2">
      <c r="C127" s="39"/>
      <c r="D127" s="240"/>
    </row>
    <row r="128" spans="1:5" x14ac:dyDescent="0.2">
      <c r="C128" s="39"/>
      <c r="D128" s="240"/>
    </row>
    <row r="129" spans="4:4" s="39" customFormat="1" x14ac:dyDescent="0.2">
      <c r="D129" s="240"/>
    </row>
    <row r="130" spans="4:4" s="39" customFormat="1" x14ac:dyDescent="0.2">
      <c r="D130" s="240"/>
    </row>
    <row r="131" spans="4:4" s="39" customFormat="1" x14ac:dyDescent="0.2">
      <c r="D131" s="240"/>
    </row>
    <row r="132" spans="4:4" s="39" customFormat="1" x14ac:dyDescent="0.2">
      <c r="D132" s="240"/>
    </row>
    <row r="133" spans="4:4" s="39" customFormat="1" x14ac:dyDescent="0.2">
      <c r="D133" s="240"/>
    </row>
    <row r="134" spans="4:4" s="39" customFormat="1" x14ac:dyDescent="0.2">
      <c r="D134" s="240"/>
    </row>
    <row r="135" spans="4:4" s="39" customFormat="1" x14ac:dyDescent="0.2">
      <c r="D135" s="240"/>
    </row>
    <row r="136" spans="4:4" s="39" customFormat="1" x14ac:dyDescent="0.2">
      <c r="D136" s="240"/>
    </row>
    <row r="137" spans="4:4" s="39" customFormat="1" x14ac:dyDescent="0.2">
      <c r="D137" s="240"/>
    </row>
    <row r="138" spans="4:4" s="39" customFormat="1" x14ac:dyDescent="0.2">
      <c r="D138" s="240"/>
    </row>
    <row r="139" spans="4:4" s="39" customFormat="1" x14ac:dyDescent="0.2">
      <c r="D139" s="240"/>
    </row>
    <row r="140" spans="4:4" s="39" customFormat="1" x14ac:dyDescent="0.2">
      <c r="D140" s="240"/>
    </row>
    <row r="141" spans="4:4" s="39" customFormat="1" x14ac:dyDescent="0.2">
      <c r="D141" s="240"/>
    </row>
    <row r="142" spans="4:4" s="39" customFormat="1" x14ac:dyDescent="0.2">
      <c r="D142" s="240"/>
    </row>
    <row r="143" spans="4:4" s="39" customFormat="1" x14ac:dyDescent="0.2">
      <c r="D143" s="240"/>
    </row>
    <row r="144" spans="4:4" s="39" customFormat="1" x14ac:dyDescent="0.2">
      <c r="D144" s="240"/>
    </row>
    <row r="145" spans="4:4" s="39" customFormat="1" x14ac:dyDescent="0.2">
      <c r="D145" s="240"/>
    </row>
    <row r="146" spans="4:4" s="39" customFormat="1" x14ac:dyDescent="0.2">
      <c r="D146" s="240"/>
    </row>
    <row r="147" spans="4:4" s="39" customFormat="1" x14ac:dyDescent="0.2">
      <c r="D147" s="240"/>
    </row>
    <row r="148" spans="4:4" s="39" customFormat="1" x14ac:dyDescent="0.2">
      <c r="D148" s="240"/>
    </row>
    <row r="149" spans="4:4" s="39" customFormat="1" x14ac:dyDescent="0.2">
      <c r="D149" s="240"/>
    </row>
    <row r="150" spans="4:4" s="39" customFormat="1" x14ac:dyDescent="0.2">
      <c r="D150" s="240"/>
    </row>
    <row r="151" spans="4:4" s="39" customFormat="1" x14ac:dyDescent="0.2">
      <c r="D151" s="240"/>
    </row>
    <row r="152" spans="4:4" s="39" customFormat="1" x14ac:dyDescent="0.2">
      <c r="D152" s="240"/>
    </row>
    <row r="153" spans="4:4" s="39" customFormat="1" x14ac:dyDescent="0.2">
      <c r="D153" s="240"/>
    </row>
    <row r="154" spans="4:4" s="39" customFormat="1" x14ac:dyDescent="0.2">
      <c r="D154" s="240"/>
    </row>
    <row r="155" spans="4:4" s="39" customFormat="1" x14ac:dyDescent="0.2">
      <c r="D155" s="240"/>
    </row>
    <row r="156" spans="4:4" s="39" customFormat="1" x14ac:dyDescent="0.2">
      <c r="D156" s="240"/>
    </row>
    <row r="157" spans="4:4" s="39" customFormat="1" x14ac:dyDescent="0.2">
      <c r="D157" s="240"/>
    </row>
    <row r="158" spans="4:4" s="39" customFormat="1" x14ac:dyDescent="0.2">
      <c r="D158" s="240"/>
    </row>
    <row r="159" spans="4:4" s="39" customFormat="1" x14ac:dyDescent="0.2">
      <c r="D159" s="240"/>
    </row>
    <row r="160" spans="4:4" s="39" customFormat="1" x14ac:dyDescent="0.2">
      <c r="D160" s="240"/>
    </row>
    <row r="161" spans="4:4" s="39" customFormat="1" x14ac:dyDescent="0.2">
      <c r="D161" s="240"/>
    </row>
    <row r="162" spans="4:4" s="39" customFormat="1" x14ac:dyDescent="0.2">
      <c r="D162" s="240"/>
    </row>
    <row r="163" spans="4:4" s="39" customFormat="1" x14ac:dyDescent="0.2">
      <c r="D163" s="240"/>
    </row>
    <row r="164" spans="4:4" s="39" customFormat="1" x14ac:dyDescent="0.2">
      <c r="D164" s="240"/>
    </row>
    <row r="165" spans="4:4" s="39" customFormat="1" x14ac:dyDescent="0.2">
      <c r="D165" s="240"/>
    </row>
    <row r="166" spans="4:4" s="39" customFormat="1" x14ac:dyDescent="0.2">
      <c r="D166" s="240"/>
    </row>
    <row r="167" spans="4:4" s="39" customFormat="1" x14ac:dyDescent="0.2">
      <c r="D167" s="240"/>
    </row>
    <row r="168" spans="4:4" s="39" customFormat="1" x14ac:dyDescent="0.2">
      <c r="D168" s="240"/>
    </row>
    <row r="169" spans="4:4" s="39" customFormat="1" x14ac:dyDescent="0.2">
      <c r="D169" s="240"/>
    </row>
    <row r="170" spans="4:4" s="39" customFormat="1" x14ac:dyDescent="0.2">
      <c r="D170" s="240"/>
    </row>
    <row r="171" spans="4:4" s="39" customFormat="1" x14ac:dyDescent="0.2">
      <c r="D171" s="240"/>
    </row>
    <row r="172" spans="4:4" s="39" customFormat="1" x14ac:dyDescent="0.2">
      <c r="D172" s="240"/>
    </row>
    <row r="173" spans="4:4" s="39" customFormat="1" x14ac:dyDescent="0.2">
      <c r="D173" s="240"/>
    </row>
    <row r="174" spans="4:4" s="39" customFormat="1" x14ac:dyDescent="0.2">
      <c r="D174" s="240"/>
    </row>
    <row r="175" spans="4:4" s="39" customFormat="1" x14ac:dyDescent="0.2">
      <c r="D175" s="240"/>
    </row>
    <row r="176" spans="4:4" s="39" customFormat="1" x14ac:dyDescent="0.2">
      <c r="D176" s="240"/>
    </row>
    <row r="177" spans="4:4" s="39" customFormat="1" x14ac:dyDescent="0.2">
      <c r="D177" s="240"/>
    </row>
    <row r="178" spans="4:4" s="39" customFormat="1" x14ac:dyDescent="0.2">
      <c r="D178" s="240"/>
    </row>
    <row r="179" spans="4:4" s="39" customFormat="1" x14ac:dyDescent="0.2">
      <c r="D179" s="240"/>
    </row>
    <row r="180" spans="4:4" s="39" customFormat="1" x14ac:dyDescent="0.2">
      <c r="D180" s="240"/>
    </row>
    <row r="181" spans="4:4" s="39" customFormat="1" x14ac:dyDescent="0.2">
      <c r="D181" s="240"/>
    </row>
    <row r="182" spans="4:4" s="39" customFormat="1" x14ac:dyDescent="0.2">
      <c r="D182" s="240"/>
    </row>
    <row r="183" spans="4:4" s="39" customFormat="1" x14ac:dyDescent="0.2">
      <c r="D183" s="240"/>
    </row>
    <row r="184" spans="4:4" s="39" customFormat="1" x14ac:dyDescent="0.2">
      <c r="D184" s="240"/>
    </row>
    <row r="185" spans="4:4" s="39" customFormat="1" x14ac:dyDescent="0.2">
      <c r="D185" s="240"/>
    </row>
    <row r="186" spans="4:4" s="39" customFormat="1" x14ac:dyDescent="0.2">
      <c r="D186" s="240"/>
    </row>
    <row r="187" spans="4:4" s="39" customFormat="1" x14ac:dyDescent="0.2">
      <c r="D187" s="240"/>
    </row>
    <row r="188" spans="4:4" s="39" customFormat="1" x14ac:dyDescent="0.2">
      <c r="D188" s="240"/>
    </row>
    <row r="189" spans="4:4" s="39" customFormat="1" x14ac:dyDescent="0.2">
      <c r="D189" s="240"/>
    </row>
    <row r="190" spans="4:4" s="39" customFormat="1" x14ac:dyDescent="0.2">
      <c r="D190" s="240"/>
    </row>
    <row r="191" spans="4:4" s="39" customFormat="1" x14ac:dyDescent="0.2">
      <c r="D191" s="240"/>
    </row>
    <row r="192" spans="4:4" s="39" customFormat="1" x14ac:dyDescent="0.2">
      <c r="D192" s="240"/>
    </row>
    <row r="193" spans="4:4" s="39" customFormat="1" x14ac:dyDescent="0.2">
      <c r="D193" s="240"/>
    </row>
    <row r="194" spans="4:4" s="39" customFormat="1" x14ac:dyDescent="0.2">
      <c r="D194" s="240"/>
    </row>
    <row r="195" spans="4:4" s="39" customFormat="1" x14ac:dyDescent="0.2">
      <c r="D195" s="240"/>
    </row>
    <row r="196" spans="4:4" s="39" customFormat="1" x14ac:dyDescent="0.2">
      <c r="D196" s="240"/>
    </row>
    <row r="197" spans="4:4" s="39" customFormat="1" x14ac:dyDescent="0.2">
      <c r="D197" s="240"/>
    </row>
    <row r="198" spans="4:4" s="39" customFormat="1" x14ac:dyDescent="0.2">
      <c r="D198" s="240"/>
    </row>
    <row r="199" spans="4:4" s="39" customFormat="1" x14ac:dyDescent="0.2">
      <c r="D199" s="240"/>
    </row>
    <row r="200" spans="4:4" s="39" customFormat="1" x14ac:dyDescent="0.2">
      <c r="D200" s="240"/>
    </row>
    <row r="201" spans="4:4" s="39" customFormat="1" x14ac:dyDescent="0.2">
      <c r="D201" s="240"/>
    </row>
    <row r="202" spans="4:4" s="39" customFormat="1" x14ac:dyDescent="0.2">
      <c r="D202" s="240"/>
    </row>
    <row r="203" spans="4:4" s="39" customFormat="1" x14ac:dyDescent="0.2">
      <c r="D203" s="240"/>
    </row>
    <row r="204" spans="4:4" s="39" customFormat="1" x14ac:dyDescent="0.2">
      <c r="D204" s="240"/>
    </row>
    <row r="205" spans="4:4" s="39" customFormat="1" x14ac:dyDescent="0.2">
      <c r="D205" s="240"/>
    </row>
    <row r="206" spans="4:4" s="39" customFormat="1" x14ac:dyDescent="0.2">
      <c r="D206" s="240"/>
    </row>
    <row r="207" spans="4:4" s="39" customFormat="1" x14ac:dyDescent="0.2">
      <c r="D207" s="240"/>
    </row>
    <row r="208" spans="4:4" s="39" customFormat="1" x14ac:dyDescent="0.2">
      <c r="D208" s="240"/>
    </row>
    <row r="209" spans="4:4" s="39" customFormat="1" x14ac:dyDescent="0.2">
      <c r="D209" s="240"/>
    </row>
    <row r="210" spans="4:4" s="39" customFormat="1" x14ac:dyDescent="0.2">
      <c r="D210" s="240"/>
    </row>
    <row r="211" spans="4:4" s="39" customFormat="1" x14ac:dyDescent="0.2">
      <c r="D211" s="240"/>
    </row>
    <row r="212" spans="4:4" s="39" customFormat="1" x14ac:dyDescent="0.2">
      <c r="D212" s="240"/>
    </row>
    <row r="213" spans="4:4" s="39" customFormat="1" x14ac:dyDescent="0.2">
      <c r="D213" s="240"/>
    </row>
    <row r="214" spans="4:4" s="39" customFormat="1" x14ac:dyDescent="0.2">
      <c r="D214" s="240"/>
    </row>
    <row r="215" spans="4:4" s="39" customFormat="1" x14ac:dyDescent="0.2">
      <c r="D215" s="240"/>
    </row>
    <row r="216" spans="4:4" s="39" customFormat="1" x14ac:dyDescent="0.2">
      <c r="D216" s="240"/>
    </row>
    <row r="217" spans="4:4" s="39" customFormat="1" x14ac:dyDescent="0.2">
      <c r="D217" s="240"/>
    </row>
    <row r="218" spans="4:4" s="39" customFormat="1" x14ac:dyDescent="0.2">
      <c r="D218" s="240"/>
    </row>
    <row r="219" spans="4:4" s="39" customFormat="1" x14ac:dyDescent="0.2">
      <c r="D219" s="240"/>
    </row>
    <row r="220" spans="4:4" s="39" customFormat="1" x14ac:dyDescent="0.2">
      <c r="D220" s="240"/>
    </row>
    <row r="221" spans="4:4" s="39" customFormat="1" x14ac:dyDescent="0.2">
      <c r="D221" s="240"/>
    </row>
    <row r="222" spans="4:4" s="39" customFormat="1" x14ac:dyDescent="0.2">
      <c r="D222" s="240"/>
    </row>
    <row r="223" spans="4:4" s="39" customFormat="1" x14ac:dyDescent="0.2">
      <c r="D223" s="240"/>
    </row>
    <row r="224" spans="4:4" s="39" customFormat="1" x14ac:dyDescent="0.2">
      <c r="D224" s="240"/>
    </row>
    <row r="225" spans="4:4" s="39" customFormat="1" x14ac:dyDescent="0.2">
      <c r="D225" s="240"/>
    </row>
    <row r="226" spans="4:4" s="39" customFormat="1" x14ac:dyDescent="0.2">
      <c r="D226" s="240"/>
    </row>
    <row r="227" spans="4:4" s="39" customFormat="1" x14ac:dyDescent="0.2">
      <c r="D227" s="240"/>
    </row>
    <row r="228" spans="4:4" s="39" customFormat="1" x14ac:dyDescent="0.2">
      <c r="D228" s="240"/>
    </row>
    <row r="229" spans="4:4" s="39" customFormat="1" x14ac:dyDescent="0.2">
      <c r="D229" s="240"/>
    </row>
    <row r="230" spans="4:4" s="39" customFormat="1" x14ac:dyDescent="0.2">
      <c r="D230" s="240"/>
    </row>
    <row r="231" spans="4:4" s="39" customFormat="1" x14ac:dyDescent="0.2">
      <c r="D231" s="240"/>
    </row>
    <row r="232" spans="4:4" s="39" customFormat="1" x14ac:dyDescent="0.2">
      <c r="D232" s="240"/>
    </row>
    <row r="233" spans="4:4" s="39" customFormat="1" x14ac:dyDescent="0.2">
      <c r="D233" s="240"/>
    </row>
    <row r="234" spans="4:4" s="39" customFormat="1" x14ac:dyDescent="0.2">
      <c r="D234" s="240"/>
    </row>
    <row r="235" spans="4:4" s="39" customFormat="1" x14ac:dyDescent="0.2">
      <c r="D235" s="240"/>
    </row>
    <row r="236" spans="4:4" s="39" customFormat="1" x14ac:dyDescent="0.2">
      <c r="D236" s="240"/>
    </row>
    <row r="237" spans="4:4" s="39" customFormat="1" x14ac:dyDescent="0.2">
      <c r="D237" s="240"/>
    </row>
    <row r="238" spans="4:4" s="39" customFormat="1" x14ac:dyDescent="0.2">
      <c r="D238" s="240"/>
    </row>
    <row r="239" spans="4:4" s="39" customFormat="1" x14ac:dyDescent="0.2">
      <c r="D239" s="240"/>
    </row>
    <row r="240" spans="4:4" s="39" customFormat="1" x14ac:dyDescent="0.2">
      <c r="D240" s="240"/>
    </row>
    <row r="241" spans="4:4" s="39" customFormat="1" x14ac:dyDescent="0.2">
      <c r="D241" s="240"/>
    </row>
    <row r="242" spans="4:4" s="39" customFormat="1" x14ac:dyDescent="0.2">
      <c r="D242" s="240"/>
    </row>
    <row r="243" spans="4:4" s="39" customFormat="1" x14ac:dyDescent="0.2">
      <c r="D243" s="240"/>
    </row>
    <row r="244" spans="4:4" s="39" customFormat="1" x14ac:dyDescent="0.2">
      <c r="D244" s="240"/>
    </row>
    <row r="245" spans="4:4" s="39" customFormat="1" x14ac:dyDescent="0.2">
      <c r="D245" s="240"/>
    </row>
    <row r="246" spans="4:4" s="39" customFormat="1" x14ac:dyDescent="0.2">
      <c r="D246" s="240"/>
    </row>
    <row r="247" spans="4:4" s="39" customFormat="1" x14ac:dyDescent="0.2">
      <c r="D247" s="240"/>
    </row>
    <row r="248" spans="4:4" s="39" customFormat="1" x14ac:dyDescent="0.2">
      <c r="D248" s="240"/>
    </row>
    <row r="249" spans="4:4" s="39" customFormat="1" x14ac:dyDescent="0.2">
      <c r="D249" s="240"/>
    </row>
    <row r="250" spans="4:4" s="39" customFormat="1" x14ac:dyDescent="0.2">
      <c r="D250" s="240"/>
    </row>
    <row r="251" spans="4:4" s="39" customFormat="1" x14ac:dyDescent="0.2">
      <c r="D251" s="240"/>
    </row>
    <row r="252" spans="4:4" s="39" customFormat="1" x14ac:dyDescent="0.2">
      <c r="D252" s="240"/>
    </row>
    <row r="253" spans="4:4" s="39" customFormat="1" x14ac:dyDescent="0.2">
      <c r="D253" s="240"/>
    </row>
    <row r="254" spans="4:4" s="39" customFormat="1" x14ac:dyDescent="0.2">
      <c r="D254" s="240"/>
    </row>
    <row r="255" spans="4:4" s="39" customFormat="1" x14ac:dyDescent="0.2">
      <c r="D255" s="240"/>
    </row>
    <row r="256" spans="4:4" s="39" customFormat="1" x14ac:dyDescent="0.2">
      <c r="D256" s="240"/>
    </row>
    <row r="257" spans="4:4" s="39" customFormat="1" x14ac:dyDescent="0.2">
      <c r="D257" s="240"/>
    </row>
    <row r="258" spans="4:4" s="39" customFormat="1" x14ac:dyDescent="0.2">
      <c r="D258" s="240"/>
    </row>
    <row r="259" spans="4:4" s="39" customFormat="1" x14ac:dyDescent="0.2">
      <c r="D259" s="240"/>
    </row>
    <row r="260" spans="4:4" s="39" customFormat="1" x14ac:dyDescent="0.2">
      <c r="D260" s="240"/>
    </row>
    <row r="261" spans="4:4" s="39" customFormat="1" x14ac:dyDescent="0.2">
      <c r="D261" s="240"/>
    </row>
    <row r="262" spans="4:4" s="39" customFormat="1" x14ac:dyDescent="0.2">
      <c r="D262" s="240"/>
    </row>
    <row r="263" spans="4:4" s="39" customFormat="1" x14ac:dyDescent="0.2">
      <c r="D263" s="240"/>
    </row>
    <row r="264" spans="4:4" s="39" customFormat="1" x14ac:dyDescent="0.2">
      <c r="D264" s="240"/>
    </row>
    <row r="265" spans="4:4" s="39" customFormat="1" x14ac:dyDescent="0.2">
      <c r="D265" s="240"/>
    </row>
    <row r="266" spans="4:4" s="39" customFormat="1" x14ac:dyDescent="0.2">
      <c r="D266" s="240"/>
    </row>
    <row r="267" spans="4:4" s="39" customFormat="1" x14ac:dyDescent="0.2">
      <c r="D267" s="240"/>
    </row>
    <row r="268" spans="4:4" s="39" customFormat="1" x14ac:dyDescent="0.2">
      <c r="D268" s="240"/>
    </row>
    <row r="269" spans="4:4" s="39" customFormat="1" x14ac:dyDescent="0.2">
      <c r="D269" s="240"/>
    </row>
    <row r="270" spans="4:4" s="39" customFormat="1" x14ac:dyDescent="0.2">
      <c r="D270" s="240"/>
    </row>
    <row r="271" spans="4:4" s="39" customFormat="1" x14ac:dyDescent="0.2">
      <c r="D271" s="240"/>
    </row>
    <row r="272" spans="4:4" s="39" customFormat="1" x14ac:dyDescent="0.2">
      <c r="D272" s="240"/>
    </row>
    <row r="273" spans="4:4" s="39" customFormat="1" x14ac:dyDescent="0.2">
      <c r="D273" s="240"/>
    </row>
    <row r="274" spans="4:4" s="39" customFormat="1" x14ac:dyDescent="0.2">
      <c r="D274" s="240"/>
    </row>
    <row r="275" spans="4:4" s="39" customFormat="1" x14ac:dyDescent="0.2">
      <c r="D275" s="240"/>
    </row>
    <row r="276" spans="4:4" s="39" customFormat="1" x14ac:dyDescent="0.2">
      <c r="D276" s="240"/>
    </row>
    <row r="277" spans="4:4" s="39" customFormat="1" x14ac:dyDescent="0.2">
      <c r="D277" s="240"/>
    </row>
    <row r="278" spans="4:4" s="39" customFormat="1" x14ac:dyDescent="0.2">
      <c r="D278" s="240"/>
    </row>
    <row r="279" spans="4:4" s="39" customFormat="1" x14ac:dyDescent="0.2">
      <c r="D279" s="240"/>
    </row>
    <row r="280" spans="4:4" s="39" customFormat="1" x14ac:dyDescent="0.2">
      <c r="D280" s="240"/>
    </row>
    <row r="281" spans="4:4" s="39" customFormat="1" x14ac:dyDescent="0.2">
      <c r="D281" s="240"/>
    </row>
    <row r="282" spans="4:4" s="39" customFormat="1" x14ac:dyDescent="0.2">
      <c r="D282" s="240"/>
    </row>
    <row r="283" spans="4:4" s="39" customFormat="1" x14ac:dyDescent="0.2">
      <c r="D283" s="240"/>
    </row>
  </sheetData>
  <phoneticPr fontId="2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6"/>
  <sheetViews>
    <sheetView topLeftCell="R11" zoomScaleNormal="100" workbookViewId="0">
      <selection activeCell="Z27" sqref="Z27:Z28"/>
    </sheetView>
  </sheetViews>
  <sheetFormatPr defaultColWidth="16.875" defaultRowHeight="14.25" x14ac:dyDescent="0.2"/>
  <cols>
    <col min="1" max="1" width="16.875" hidden="1" customWidth="1"/>
    <col min="2" max="2" width="16.875" style="172" hidden="1" customWidth="1"/>
    <col min="3" max="6" width="16.875" hidden="1" customWidth="1"/>
    <col min="7" max="7" width="31.375" hidden="1" customWidth="1"/>
    <col min="8" max="8" width="14.75" hidden="1" customWidth="1"/>
    <col min="9" max="9" width="17.25" hidden="1" customWidth="1"/>
    <col min="10" max="10" width="12.125" hidden="1" customWidth="1"/>
    <col min="11" max="11" width="13.25" hidden="1" customWidth="1"/>
    <col min="12" max="12" width="13.75" hidden="1" customWidth="1"/>
    <col min="13" max="13" width="14.75" style="46" hidden="1" customWidth="1"/>
    <col min="14" max="14" width="22.875" hidden="1" customWidth="1"/>
    <col min="15" max="16" width="12.125" hidden="1" customWidth="1"/>
    <col min="17" max="17" width="12.625" hidden="1" customWidth="1"/>
    <col min="18" max="18" width="30.625" customWidth="1"/>
  </cols>
  <sheetData>
    <row r="1" spans="1:23" x14ac:dyDescent="0.2">
      <c r="A1" s="260" t="s">
        <v>184</v>
      </c>
      <c r="B1" s="261"/>
      <c r="C1" s="262" t="s">
        <v>185</v>
      </c>
      <c r="D1" s="262"/>
      <c r="E1" s="262"/>
      <c r="F1" s="263" t="s">
        <v>169</v>
      </c>
      <c r="G1" s="8" t="s">
        <v>1623</v>
      </c>
      <c r="H1" s="147"/>
      <c r="I1" s="41" t="s">
        <v>185</v>
      </c>
      <c r="J1" s="41"/>
      <c r="K1" s="41"/>
      <c r="L1" s="148" t="s">
        <v>169</v>
      </c>
      <c r="M1" s="147"/>
      <c r="N1" s="41" t="s">
        <v>185</v>
      </c>
      <c r="O1" s="41"/>
      <c r="P1" s="41"/>
      <c r="Q1" s="148" t="s">
        <v>169</v>
      </c>
      <c r="R1" s="8" t="s">
        <v>1672</v>
      </c>
      <c r="S1" s="147"/>
      <c r="T1" s="41" t="s">
        <v>185</v>
      </c>
      <c r="U1" s="41"/>
      <c r="V1" s="41"/>
      <c r="W1" s="148" t="s">
        <v>169</v>
      </c>
    </row>
    <row r="2" spans="1:23" x14ac:dyDescent="0.2">
      <c r="A2" s="257" t="s">
        <v>186</v>
      </c>
      <c r="B2" s="258">
        <v>318962475</v>
      </c>
      <c r="C2" s="259"/>
      <c r="D2" s="259"/>
      <c r="E2" s="259"/>
      <c r="F2" s="264"/>
      <c r="G2" s="8" t="s">
        <v>1558</v>
      </c>
      <c r="H2" s="241">
        <v>515948873</v>
      </c>
      <c r="I2" s="246">
        <f>SUM(H2+H4)</f>
        <v>531052952</v>
      </c>
      <c r="J2" s="41"/>
      <c r="K2" s="41"/>
      <c r="L2" s="10"/>
      <c r="M2" s="241">
        <v>471324908</v>
      </c>
      <c r="N2" s="246">
        <f>SUM(M2+M4)</f>
        <v>485337933</v>
      </c>
      <c r="O2" s="41"/>
      <c r="P2" s="41"/>
      <c r="Q2" s="10"/>
      <c r="R2" s="8" t="s">
        <v>1673</v>
      </c>
      <c r="S2" s="241">
        <v>552118017</v>
      </c>
      <c r="T2" s="246">
        <f>SUM(S2+$S4)</f>
        <v>566462088</v>
      </c>
      <c r="U2" s="41"/>
      <c r="V2" s="41"/>
      <c r="W2" s="10"/>
    </row>
    <row r="3" spans="1:23" x14ac:dyDescent="0.2">
      <c r="A3" s="8" t="s">
        <v>187</v>
      </c>
      <c r="B3" s="149">
        <v>316770170</v>
      </c>
      <c r="C3" s="41"/>
      <c r="D3" s="41"/>
      <c r="E3" s="41"/>
      <c r="F3" s="10"/>
      <c r="G3" s="8" t="s">
        <v>1559</v>
      </c>
      <c r="H3" s="246">
        <v>514009909</v>
      </c>
      <c r="I3" s="246">
        <v>529122388</v>
      </c>
      <c r="J3" s="41"/>
      <c r="K3" s="41"/>
      <c r="L3" s="10"/>
      <c r="M3" s="246">
        <v>469409187</v>
      </c>
      <c r="N3" s="246">
        <f>SUM(M3+M4)</f>
        <v>483422212</v>
      </c>
      <c r="O3" s="41"/>
      <c r="P3" s="41"/>
      <c r="Q3" s="10"/>
      <c r="R3" s="8" t="s">
        <v>1674</v>
      </c>
      <c r="S3" s="246">
        <v>551078137</v>
      </c>
      <c r="T3" s="246">
        <f>SUM(S3+$S4)</f>
        <v>565422208</v>
      </c>
      <c r="U3" s="41"/>
      <c r="V3" s="41"/>
      <c r="W3" s="10"/>
    </row>
    <row r="4" spans="1:23" ht="29.45" customHeight="1" x14ac:dyDescent="0.25">
      <c r="A4" s="8" t="s">
        <v>188</v>
      </c>
      <c r="B4" s="25">
        <v>11570252</v>
      </c>
      <c r="C4" s="41" t="s">
        <v>189</v>
      </c>
      <c r="D4" s="41"/>
      <c r="E4" s="41"/>
      <c r="F4" s="10"/>
      <c r="G4" s="8" t="s">
        <v>188</v>
      </c>
      <c r="H4" s="245">
        <v>15104079</v>
      </c>
      <c r="I4" s="371" t="s">
        <v>189</v>
      </c>
      <c r="J4" s="41"/>
      <c r="K4" s="41"/>
      <c r="L4" s="10"/>
      <c r="M4" s="245">
        <v>14013025</v>
      </c>
      <c r="N4" s="41" t="s">
        <v>189</v>
      </c>
      <c r="O4" s="41"/>
      <c r="P4" s="41"/>
      <c r="Q4" s="10"/>
      <c r="R4" s="8" t="s">
        <v>188</v>
      </c>
      <c r="S4" s="245">
        <v>14344071</v>
      </c>
      <c r="T4" s="509" t="s">
        <v>189</v>
      </c>
      <c r="U4" s="41"/>
      <c r="V4" s="41"/>
      <c r="W4" s="10"/>
    </row>
    <row r="5" spans="1:23" x14ac:dyDescent="0.2">
      <c r="A5" s="8" t="s">
        <v>190</v>
      </c>
      <c r="B5" s="41">
        <f>SUM(B3)/100*0.08</f>
        <v>253416.13600000003</v>
      </c>
      <c r="C5" s="41">
        <v>6500</v>
      </c>
      <c r="D5" s="150"/>
      <c r="E5" s="41"/>
      <c r="F5" s="43">
        <f>SUM(B5:C5)</f>
        <v>259916.13600000003</v>
      </c>
      <c r="G5" s="8" t="s">
        <v>1629</v>
      </c>
      <c r="H5" s="145">
        <f>SUM(I3)/100*0.11</f>
        <v>582034.62679999997</v>
      </c>
      <c r="I5" s="41">
        <v>6500</v>
      </c>
      <c r="J5" s="41"/>
      <c r="K5" s="41"/>
      <c r="L5" s="43">
        <f>SUM(H5:I5)</f>
        <v>588534.62679999997</v>
      </c>
      <c r="M5" s="41">
        <f>SUM(N3)/100*0.09</f>
        <v>435079.99079999997</v>
      </c>
      <c r="N5" s="41">
        <v>6500</v>
      </c>
      <c r="O5" s="41"/>
      <c r="P5" s="41">
        <f>SUM(M5:N5)</f>
        <v>441579.99079999997</v>
      </c>
      <c r="Q5" s="43">
        <f>SUM(M5:N5)</f>
        <v>441579.99079999997</v>
      </c>
      <c r="R5" s="8" t="s">
        <v>1680</v>
      </c>
      <c r="S5" s="145">
        <f>SUM(T3)/100*0.1</f>
        <v>565422.20799999998</v>
      </c>
      <c r="T5" s="145">
        <v>6500</v>
      </c>
      <c r="U5" s="41"/>
      <c r="V5" s="41"/>
      <c r="W5" s="43">
        <f>SUM(S5:T5)</f>
        <v>571922.20799999998</v>
      </c>
    </row>
    <row r="6" spans="1:23" x14ac:dyDescent="0.2">
      <c r="A6" s="8" t="s">
        <v>191</v>
      </c>
      <c r="B6" s="41">
        <v>26500</v>
      </c>
      <c r="C6" s="41"/>
      <c r="D6" s="41"/>
      <c r="E6" s="41"/>
      <c r="F6" s="43">
        <f>SUM(B6)</f>
        <v>26500</v>
      </c>
      <c r="G6" s="8" t="s">
        <v>191</v>
      </c>
      <c r="H6" s="145">
        <v>26500</v>
      </c>
      <c r="I6" s="41"/>
      <c r="J6" s="41"/>
      <c r="K6" s="41"/>
      <c r="L6" s="43">
        <f>SUM(H6)</f>
        <v>26500</v>
      </c>
      <c r="M6" s="41">
        <v>26500</v>
      </c>
      <c r="N6" s="41"/>
      <c r="O6" s="41"/>
      <c r="P6" s="41"/>
      <c r="Q6" s="43">
        <f>SUM(M6)</f>
        <v>26500</v>
      </c>
      <c r="R6" s="8" t="s">
        <v>191</v>
      </c>
      <c r="S6" s="145">
        <v>26500</v>
      </c>
      <c r="T6" s="145"/>
      <c r="U6" s="41"/>
      <c r="V6" s="41"/>
      <c r="W6" s="43">
        <f>SUM(S6)</f>
        <v>26500</v>
      </c>
    </row>
    <row r="7" spans="1:23" x14ac:dyDescent="0.2">
      <c r="A7" s="8" t="s">
        <v>192</v>
      </c>
      <c r="B7" s="41">
        <f>(B2)/100*0.06</f>
        <v>191377.48499999999</v>
      </c>
      <c r="C7" s="41">
        <v>9300</v>
      </c>
      <c r="D7" s="41"/>
      <c r="E7" s="41"/>
      <c r="F7" s="43">
        <f>SUM(B7:C7)</f>
        <v>200677.48499999999</v>
      </c>
      <c r="G7" s="8" t="s">
        <v>1632</v>
      </c>
      <c r="H7" s="145">
        <f>(I2)/100*0.04</f>
        <v>212421.18079999997</v>
      </c>
      <c r="I7" s="41">
        <v>9300</v>
      </c>
      <c r="J7" s="41"/>
      <c r="K7" s="41"/>
      <c r="L7" s="43">
        <f>SUM(H7:I7)</f>
        <v>221721.18079999997</v>
      </c>
      <c r="M7" s="41">
        <f>(N2)/100*0.07</f>
        <v>339736.55310000002</v>
      </c>
      <c r="N7" s="41">
        <v>9300</v>
      </c>
      <c r="O7" s="41"/>
      <c r="P7" s="41"/>
      <c r="Q7" s="43">
        <f>SUM(M7:N7)</f>
        <v>349036.55310000002</v>
      </c>
      <c r="R7" s="8" t="s">
        <v>1632</v>
      </c>
      <c r="S7" s="145">
        <f>(T2)/100*0.04</f>
        <v>226584.8352</v>
      </c>
      <c r="T7" s="145">
        <v>9300</v>
      </c>
      <c r="U7" s="41"/>
      <c r="V7" s="41"/>
      <c r="W7" s="43">
        <f>SUM(S7:T7)</f>
        <v>235884.8352</v>
      </c>
    </row>
    <row r="8" spans="1:23" x14ac:dyDescent="0.2">
      <c r="A8" s="8"/>
      <c r="B8" s="41"/>
      <c r="C8" s="41"/>
      <c r="D8" s="41"/>
      <c r="E8" s="41"/>
      <c r="F8" s="43"/>
      <c r="G8" s="8" t="s">
        <v>193</v>
      </c>
      <c r="H8" s="145">
        <v>280000</v>
      </c>
      <c r="I8" s="41"/>
      <c r="J8" s="41"/>
      <c r="K8" s="41"/>
      <c r="L8" s="43">
        <f>SUM(H8)</f>
        <v>280000</v>
      </c>
      <c r="M8" s="41">
        <f>(N$2)/100*0.02</f>
        <v>97067.58660000001</v>
      </c>
      <c r="N8" s="41"/>
      <c r="O8" s="41"/>
      <c r="P8" s="41"/>
      <c r="Q8" s="43">
        <f>SUM(M$8)</f>
        <v>97067.58660000001</v>
      </c>
      <c r="R8" s="8" t="s">
        <v>193</v>
      </c>
      <c r="S8" s="145">
        <v>280000</v>
      </c>
      <c r="T8" s="41"/>
      <c r="U8" s="41"/>
      <c r="V8" s="41"/>
      <c r="W8" s="43">
        <f>SUM(S8)</f>
        <v>280000</v>
      </c>
    </row>
    <row r="9" spans="1:23" x14ac:dyDescent="0.2">
      <c r="A9" s="8" t="s">
        <v>193</v>
      </c>
      <c r="B9" s="41">
        <v>260000</v>
      </c>
      <c r="C9" s="41"/>
      <c r="D9" s="41"/>
      <c r="E9" s="41"/>
      <c r="F9" s="43">
        <f>SUM(B9)</f>
        <v>260000</v>
      </c>
      <c r="G9" s="8" t="s">
        <v>194</v>
      </c>
      <c r="H9" s="145">
        <v>80000</v>
      </c>
      <c r="I9" s="41"/>
      <c r="J9" s="41"/>
      <c r="K9" s="41"/>
      <c r="L9" s="43">
        <v>80000</v>
      </c>
      <c r="M9" s="41">
        <v>260000</v>
      </c>
      <c r="N9" s="41"/>
      <c r="O9" s="41"/>
      <c r="P9" s="41"/>
      <c r="Q9" s="43">
        <f>SUM(M9)</f>
        <v>260000</v>
      </c>
      <c r="R9" s="8" t="s">
        <v>194</v>
      </c>
      <c r="S9" s="145">
        <v>80000</v>
      </c>
      <c r="T9" s="41"/>
      <c r="U9" s="41"/>
      <c r="V9" s="41"/>
      <c r="W9" s="43">
        <v>80000</v>
      </c>
    </row>
    <row r="10" spans="1:23" x14ac:dyDescent="0.2">
      <c r="A10" s="8" t="s">
        <v>194</v>
      </c>
      <c r="B10" s="41">
        <v>80000</v>
      </c>
      <c r="C10" s="41"/>
      <c r="D10" s="41"/>
      <c r="E10" s="41"/>
      <c r="F10" s="43">
        <f>SUM(B10)</f>
        <v>80000</v>
      </c>
      <c r="G10" s="8"/>
      <c r="H10" s="41"/>
      <c r="I10" s="41"/>
      <c r="J10" s="41"/>
      <c r="K10" s="41"/>
      <c r="L10" s="43"/>
      <c r="M10" s="41">
        <v>80000</v>
      </c>
      <c r="N10" s="41"/>
      <c r="O10" s="41"/>
      <c r="P10" s="41"/>
      <c r="Q10" s="43">
        <f>SUM(M10)</f>
        <v>80000</v>
      </c>
      <c r="R10" s="8"/>
      <c r="S10" s="41"/>
      <c r="T10" s="41"/>
      <c r="U10" s="41"/>
      <c r="V10" s="41"/>
      <c r="W10" s="43"/>
    </row>
    <row r="11" spans="1:23" x14ac:dyDescent="0.2">
      <c r="A11" s="8"/>
      <c r="B11" s="41"/>
      <c r="C11" s="41"/>
      <c r="D11" s="41"/>
      <c r="E11" s="41"/>
      <c r="F11" s="43"/>
      <c r="G11" s="8"/>
      <c r="H11" s="41"/>
      <c r="I11" s="41"/>
      <c r="J11" s="41"/>
      <c r="K11" s="41"/>
      <c r="L11" s="43"/>
      <c r="M11" s="41"/>
      <c r="N11" s="41"/>
      <c r="O11" s="41"/>
      <c r="P11" s="41"/>
      <c r="Q11" s="43"/>
      <c r="R11" s="8"/>
      <c r="S11" s="41"/>
      <c r="T11" s="41"/>
      <c r="U11" s="41"/>
      <c r="V11" s="41"/>
      <c r="W11" s="43"/>
    </row>
    <row r="12" spans="1:23" x14ac:dyDescent="0.2">
      <c r="A12" s="8"/>
      <c r="B12" s="41"/>
      <c r="C12" s="41"/>
      <c r="D12" s="41"/>
      <c r="E12" s="41"/>
      <c r="F12" s="43"/>
      <c r="G12" s="265" t="s">
        <v>195</v>
      </c>
      <c r="H12" s="145">
        <f>SUM(H5:H11)</f>
        <v>1180955.8075999999</v>
      </c>
      <c r="I12" s="145">
        <f>SUM(I5:I7)</f>
        <v>15800</v>
      </c>
      <c r="J12" s="41"/>
      <c r="K12" s="41"/>
      <c r="L12" s="43">
        <f>SUM(L5:L9)</f>
        <v>1196755.8075999999</v>
      </c>
      <c r="M12" s="41"/>
      <c r="N12" s="41"/>
      <c r="O12" s="41"/>
      <c r="P12" s="41"/>
      <c r="Q12" s="43"/>
      <c r="R12" s="265" t="s">
        <v>195</v>
      </c>
      <c r="S12" s="145">
        <f>SUM(S5:S11)</f>
        <v>1178507.0432</v>
      </c>
      <c r="T12" s="145">
        <f>SUM(T5:T7)</f>
        <v>15800</v>
      </c>
      <c r="U12" s="41"/>
      <c r="V12" s="41"/>
      <c r="W12" s="43">
        <f>SUM(W5:W9)</f>
        <v>1194307.0432</v>
      </c>
    </row>
    <row r="13" spans="1:23" x14ac:dyDescent="0.2">
      <c r="A13" s="8" t="s">
        <v>195</v>
      </c>
      <c r="B13" s="41">
        <f>SUM(B5:B12)</f>
        <v>811293.62100000004</v>
      </c>
      <c r="C13" s="41">
        <f>SUM(C5:C7)</f>
        <v>15800</v>
      </c>
      <c r="D13" s="41"/>
      <c r="E13" s="41"/>
      <c r="F13" s="43">
        <f>SUM(F5:F12)</f>
        <v>827093.62100000004</v>
      </c>
      <c r="G13" s="8"/>
      <c r="H13" s="41"/>
      <c r="I13" s="41"/>
      <c r="J13" s="41"/>
      <c r="K13" s="41"/>
      <c r="L13" s="10"/>
      <c r="M13" s="145">
        <f>SUM(M5:M12)</f>
        <v>1238384.1305</v>
      </c>
      <c r="N13" s="145">
        <f>SUM(N5:N7)</f>
        <v>15800</v>
      </c>
      <c r="O13" s="41"/>
      <c r="P13" s="41"/>
      <c r="Q13" s="43">
        <f>SUM(Q5:Q12)</f>
        <v>1254184.1305</v>
      </c>
      <c r="R13" s="8"/>
      <c r="S13" s="41"/>
      <c r="T13" s="41"/>
      <c r="U13" s="41"/>
      <c r="V13" s="41"/>
      <c r="W13" s="10"/>
    </row>
    <row r="14" spans="1:23" x14ac:dyDescent="0.2">
      <c r="A14" s="8"/>
      <c r="B14" s="41"/>
      <c r="C14" s="41"/>
      <c r="D14" s="41"/>
      <c r="E14" s="41"/>
      <c r="F14" s="10"/>
      <c r="G14" s="8"/>
      <c r="H14" s="147" t="s">
        <v>196</v>
      </c>
      <c r="I14" s="147" t="s">
        <v>197</v>
      </c>
      <c r="J14" s="147" t="s">
        <v>198</v>
      </c>
      <c r="K14" s="147" t="s">
        <v>199</v>
      </c>
      <c r="L14" s="10"/>
      <c r="M14" s="41"/>
      <c r="N14" s="41"/>
      <c r="O14" s="41"/>
      <c r="P14" s="41"/>
      <c r="Q14" s="10"/>
      <c r="R14" s="8"/>
      <c r="S14" s="147" t="s">
        <v>196</v>
      </c>
      <c r="T14" s="147" t="s">
        <v>197</v>
      </c>
      <c r="U14" s="147" t="s">
        <v>198</v>
      </c>
      <c r="V14" s="147" t="s">
        <v>199</v>
      </c>
      <c r="W14" s="10"/>
    </row>
    <row r="15" spans="1:23" x14ac:dyDescent="0.2">
      <c r="A15" s="8"/>
      <c r="B15" s="147" t="s">
        <v>196</v>
      </c>
      <c r="C15" s="147" t="s">
        <v>197</v>
      </c>
      <c r="D15" s="147" t="s">
        <v>198</v>
      </c>
      <c r="E15" s="147" t="s">
        <v>199</v>
      </c>
      <c r="F15" s="10"/>
      <c r="G15" s="8"/>
      <c r="H15" s="41"/>
      <c r="I15" s="41"/>
      <c r="J15" s="41"/>
      <c r="K15" s="41"/>
      <c r="L15" s="10"/>
      <c r="M15" s="147" t="s">
        <v>196</v>
      </c>
      <c r="N15" s="147" t="s">
        <v>197</v>
      </c>
      <c r="O15" s="147" t="s">
        <v>198</v>
      </c>
      <c r="P15" s="147" t="s">
        <v>199</v>
      </c>
      <c r="Q15" s="10"/>
      <c r="R15" s="8"/>
      <c r="S15" s="41"/>
      <c r="T15" s="41"/>
      <c r="U15" s="41"/>
      <c r="V15" s="41"/>
      <c r="W15" s="10"/>
    </row>
    <row r="16" spans="1:23" x14ac:dyDescent="0.2">
      <c r="A16" s="8"/>
      <c r="B16" s="41"/>
      <c r="C16" s="41"/>
      <c r="D16" s="41"/>
      <c r="E16" s="41"/>
      <c r="F16" s="10"/>
      <c r="G16" s="8" t="s">
        <v>200</v>
      </c>
      <c r="H16" s="41">
        <f>SUM(L6*0.25)</f>
        <v>6625</v>
      </c>
      <c r="I16" s="41">
        <f>SUM(L6*0.25)</f>
        <v>6625</v>
      </c>
      <c r="J16" s="41">
        <f>SUM(L6*0.25)</f>
        <v>6625</v>
      </c>
      <c r="K16" s="41">
        <f>SUM(L6*0.25)</f>
        <v>6625</v>
      </c>
      <c r="L16" s="43">
        <f t="shared" ref="L16:L22" si="0">SUM(H16:K16)</f>
        <v>26500</v>
      </c>
      <c r="M16" s="41"/>
      <c r="N16" s="41"/>
      <c r="O16" s="41"/>
      <c r="P16" s="41"/>
      <c r="Q16" s="10"/>
      <c r="R16" s="8" t="s">
        <v>200</v>
      </c>
      <c r="S16" s="41">
        <f>SUM(W6*0.25)</f>
        <v>6625</v>
      </c>
      <c r="T16" s="41">
        <f>SUM(W6*0.25)</f>
        <v>6625</v>
      </c>
      <c r="U16" s="41">
        <f>SUM(W6*0.25)</f>
        <v>6625</v>
      </c>
      <c r="V16" s="41">
        <f>SUM(W6*0.25)</f>
        <v>6625</v>
      </c>
      <c r="W16" s="43">
        <f t="shared" ref="W16:W22" si="1">SUM(S16:V16)</f>
        <v>26500</v>
      </c>
    </row>
    <row r="17" spans="1:24" x14ac:dyDescent="0.2">
      <c r="A17" s="8" t="s">
        <v>200</v>
      </c>
      <c r="B17" s="41">
        <f>SUM(F6*0.25)</f>
        <v>6625</v>
      </c>
      <c r="C17" s="41">
        <f>SUM(F6*0.25)</f>
        <v>6625</v>
      </c>
      <c r="D17" s="41">
        <f>SUM(F6*0.25)</f>
        <v>6625</v>
      </c>
      <c r="E17" s="41">
        <f>SUM(F6*0.25)</f>
        <v>6625</v>
      </c>
      <c r="F17" s="43">
        <f>SUM(B17:E17)</f>
        <v>26500</v>
      </c>
      <c r="G17" s="8" t="s">
        <v>201</v>
      </c>
      <c r="H17" s="41">
        <f>SUM(L5*0.25)</f>
        <v>147133.65669999999</v>
      </c>
      <c r="I17" s="41">
        <f>SUM(L5*0.25)</f>
        <v>147133.65669999999</v>
      </c>
      <c r="J17" s="41">
        <f>SUM(L5*0.25)</f>
        <v>147133.65669999999</v>
      </c>
      <c r="K17" s="41">
        <f>SUM(L5*0.25)</f>
        <v>147133.65669999999</v>
      </c>
      <c r="L17" s="43">
        <f t="shared" si="0"/>
        <v>588534.62679999997</v>
      </c>
      <c r="M17" s="41">
        <f>SUM(Q6*0.25)</f>
        <v>6625</v>
      </c>
      <c r="N17" s="41">
        <f>SUM(Q6*0.25)</f>
        <v>6625</v>
      </c>
      <c r="O17" s="41">
        <f>SUM(Q6*0.25)</f>
        <v>6625</v>
      </c>
      <c r="P17" s="41">
        <f>SUM(Q6*0.25)</f>
        <v>6625</v>
      </c>
      <c r="Q17" s="43">
        <f>SUM(M17:P17)</f>
        <v>26500</v>
      </c>
      <c r="R17" s="8" t="s">
        <v>201</v>
      </c>
      <c r="S17" s="41">
        <f>SUM(W5*0.25)</f>
        <v>142980.552</v>
      </c>
      <c r="T17" s="41">
        <f>SUM(W5*0.25)</f>
        <v>142980.552</v>
      </c>
      <c r="U17" s="41">
        <f>SUM(W5*0.25)</f>
        <v>142980.552</v>
      </c>
      <c r="V17" s="41">
        <f>SUM(W5*0.25)</f>
        <v>142980.552</v>
      </c>
      <c r="W17" s="43">
        <f t="shared" si="1"/>
        <v>571922.20799999998</v>
      </c>
    </row>
    <row r="18" spans="1:24" x14ac:dyDescent="0.2">
      <c r="A18" s="8" t="s">
        <v>201</v>
      </c>
      <c r="B18" s="41">
        <f>SUM(F5*0.25)</f>
        <v>64979.034000000007</v>
      </c>
      <c r="C18" s="41">
        <f>SUM(F5*0.25)</f>
        <v>64979.034000000007</v>
      </c>
      <c r="D18" s="41">
        <f>SUM(F5*0.25)</f>
        <v>64979.034000000007</v>
      </c>
      <c r="E18" s="41">
        <f>SUM(F5*0.25)</f>
        <v>64979.034000000007</v>
      </c>
      <c r="F18" s="43">
        <f>SUM(B18:E18)</f>
        <v>259916.13600000003</v>
      </c>
      <c r="G18" s="8" t="s">
        <v>1633</v>
      </c>
      <c r="H18" s="41">
        <f>SUM($L7*0.25)</f>
        <v>55430.295199999993</v>
      </c>
      <c r="I18" s="41">
        <f>SUM($L7*0.25)</f>
        <v>55430.295199999993</v>
      </c>
      <c r="J18" s="41">
        <f>SUM($L7*0.25)</f>
        <v>55430.295199999993</v>
      </c>
      <c r="K18" s="41">
        <f>SUM($L7*0.25)</f>
        <v>55430.295199999993</v>
      </c>
      <c r="L18" s="43">
        <f t="shared" si="0"/>
        <v>221721.18079999997</v>
      </c>
      <c r="M18" s="41">
        <f>SUM(Q5*0.25)</f>
        <v>110394.99769999999</v>
      </c>
      <c r="N18" s="41">
        <f>SUM(Q5*0.25)</f>
        <v>110394.99769999999</v>
      </c>
      <c r="O18" s="41">
        <f>SUM(Q5*0.25)</f>
        <v>110394.99769999999</v>
      </c>
      <c r="P18" s="41">
        <f>SUM(Q5*0.25)</f>
        <v>110394.99769999999</v>
      </c>
      <c r="Q18" s="43">
        <f>SUM(M18:P18)</f>
        <v>441579.99079999997</v>
      </c>
      <c r="R18" s="8" t="s">
        <v>1633</v>
      </c>
      <c r="S18" s="41">
        <f>+SUM($W7)*0.25</f>
        <v>58971.2088</v>
      </c>
      <c r="T18" s="41">
        <f>+SUM($W7)*0.25</f>
        <v>58971.2088</v>
      </c>
      <c r="U18" s="41">
        <f>+SUM($W7)*0.25</f>
        <v>58971.2088</v>
      </c>
      <c r="V18" s="41">
        <f>+SUM($W7)*0.25</f>
        <v>58971.2088</v>
      </c>
      <c r="W18" s="43">
        <f t="shared" si="1"/>
        <v>235884.8352</v>
      </c>
    </row>
    <row r="19" spans="1:24" x14ac:dyDescent="0.2">
      <c r="A19" s="8" t="s">
        <v>202</v>
      </c>
      <c r="B19" s="41">
        <f>SUM(F7*0.25)</f>
        <v>50169.371249999997</v>
      </c>
      <c r="C19" s="41">
        <f>SUM(F7*0.25)</f>
        <v>50169.371249999997</v>
      </c>
      <c r="D19" s="41">
        <f>SUM(F7*0.25)</f>
        <v>50169.371249999997</v>
      </c>
      <c r="E19" s="41">
        <f>SUM(F7*0.25)</f>
        <v>50169.371249999997</v>
      </c>
      <c r="F19" s="43">
        <f>SUM(B19:E19)</f>
        <v>200677.48499999999</v>
      </c>
      <c r="G19" s="8" t="s">
        <v>203</v>
      </c>
      <c r="H19" s="41">
        <v>70000</v>
      </c>
      <c r="I19" s="41">
        <v>70000</v>
      </c>
      <c r="J19" s="41">
        <v>70000</v>
      </c>
      <c r="K19" s="41">
        <v>70000</v>
      </c>
      <c r="L19" s="43">
        <f t="shared" si="0"/>
        <v>280000</v>
      </c>
      <c r="M19" s="41">
        <f>SUM($L7*0.25)</f>
        <v>55430.295199999993</v>
      </c>
      <c r="N19" s="41">
        <f>SUM($L7*0.25)</f>
        <v>55430.295199999993</v>
      </c>
      <c r="O19" s="41">
        <f>SUM($L7*0.25)</f>
        <v>55430.295199999993</v>
      </c>
      <c r="P19" s="41">
        <f>SUM($L7*0.25)</f>
        <v>55430.295199999993</v>
      </c>
      <c r="Q19" s="43">
        <f>SUM(M19:P19)</f>
        <v>221721.18079999997</v>
      </c>
      <c r="R19" s="8" t="s">
        <v>203</v>
      </c>
      <c r="S19" s="41">
        <v>70000</v>
      </c>
      <c r="T19" s="41">
        <v>70000</v>
      </c>
      <c r="U19" s="41">
        <v>70000</v>
      </c>
      <c r="V19" s="41">
        <v>70000</v>
      </c>
      <c r="W19" s="43">
        <f t="shared" si="1"/>
        <v>280000</v>
      </c>
    </row>
    <row r="20" spans="1:24" x14ac:dyDescent="0.2">
      <c r="A20" s="8"/>
      <c r="B20" s="41"/>
      <c r="C20" s="41"/>
      <c r="D20" s="41"/>
      <c r="E20" s="41"/>
      <c r="F20" s="43"/>
      <c r="G20" s="8" t="s">
        <v>204</v>
      </c>
      <c r="H20" s="41">
        <v>20000</v>
      </c>
      <c r="I20" s="41">
        <v>20000</v>
      </c>
      <c r="J20" s="41">
        <v>20000</v>
      </c>
      <c r="K20" s="41">
        <v>20000</v>
      </c>
      <c r="L20" s="43">
        <f t="shared" si="0"/>
        <v>80000</v>
      </c>
      <c r="M20" s="41" t="e">
        <f>SUM(#REF!)/3</f>
        <v>#REF!</v>
      </c>
      <c r="N20" s="41"/>
      <c r="O20" s="43" t="e">
        <f>SUM(#REF!)/3</f>
        <v>#REF!</v>
      </c>
      <c r="P20" s="43" t="e">
        <f>SUM(#REF!)/3</f>
        <v>#REF!</v>
      </c>
      <c r="Q20" s="43" t="e">
        <f>SUM(M20:P20)</f>
        <v>#REF!</v>
      </c>
      <c r="R20" s="8" t="s">
        <v>204</v>
      </c>
      <c r="S20" s="41">
        <v>20000</v>
      </c>
      <c r="T20" s="41">
        <v>20000</v>
      </c>
      <c r="U20" s="41">
        <v>20000</v>
      </c>
      <c r="V20" s="41">
        <v>20000</v>
      </c>
      <c r="W20" s="43">
        <f t="shared" si="1"/>
        <v>80000</v>
      </c>
    </row>
    <row r="21" spans="1:24" ht="15" x14ac:dyDescent="0.25">
      <c r="A21" s="8" t="s">
        <v>204</v>
      </c>
      <c r="B21" s="41">
        <f>SUM(F10*0.25)</f>
        <v>20000</v>
      </c>
      <c r="C21" s="41">
        <f>SUM(F10*0.25)</f>
        <v>20000</v>
      </c>
      <c r="D21" s="41">
        <f>SUM(F10*0.25)</f>
        <v>20000</v>
      </c>
      <c r="E21" s="41">
        <f>SUM(F10*0.25)</f>
        <v>20000</v>
      </c>
      <c r="F21" s="43">
        <f>SUM(B21:E21)</f>
        <v>80000</v>
      </c>
      <c r="G21" s="10" t="s">
        <v>1630</v>
      </c>
      <c r="H21" s="145">
        <v>50000</v>
      </c>
      <c r="I21" s="145">
        <v>50000</v>
      </c>
      <c r="J21" s="145">
        <v>50000</v>
      </c>
      <c r="K21" s="145">
        <v>50000</v>
      </c>
      <c r="L21" s="7">
        <f t="shared" si="0"/>
        <v>200000</v>
      </c>
      <c r="M21" s="41">
        <f>SUM(Q10*0.25)</f>
        <v>20000</v>
      </c>
      <c r="N21" s="41">
        <f>SUM(Q10*0.25)</f>
        <v>20000</v>
      </c>
      <c r="O21" s="41">
        <f>SUM(Q10*0.25)</f>
        <v>20000</v>
      </c>
      <c r="P21" s="41">
        <f>SUM(Q10*0.25)</f>
        <v>20000</v>
      </c>
      <c r="Q21" s="43">
        <f>SUM(M21:P21)</f>
        <v>80000</v>
      </c>
      <c r="R21" s="10" t="s">
        <v>1675</v>
      </c>
      <c r="S21" s="145"/>
      <c r="T21" s="594">
        <v>-75000</v>
      </c>
      <c r="U21" s="145">
        <v>75000</v>
      </c>
      <c r="V21" s="145"/>
      <c r="W21" s="7"/>
    </row>
    <row r="22" spans="1:24" ht="15" x14ac:dyDescent="0.25">
      <c r="A22" s="8"/>
      <c r="B22" s="41"/>
      <c r="C22" s="41"/>
      <c r="D22" s="41"/>
      <c r="E22" s="41"/>
      <c r="F22" s="43"/>
      <c r="G22" s="160" t="s">
        <v>1631</v>
      </c>
      <c r="H22" s="145">
        <f>SUM(H16:H21)</f>
        <v>349188.95189999999</v>
      </c>
      <c r="I22" s="145">
        <f>SUM(I16:I21)</f>
        <v>349188.95189999999</v>
      </c>
      <c r="J22" s="145">
        <f>SUM(J16:J21)</f>
        <v>349188.95189999999</v>
      </c>
      <c r="K22" s="145">
        <f>SUM(K16:K21)</f>
        <v>349188.95189999999</v>
      </c>
      <c r="L22" s="7">
        <f t="shared" si="0"/>
        <v>1396755.8075999999</v>
      </c>
      <c r="M22" s="41"/>
      <c r="N22" s="41"/>
      <c r="O22" s="41"/>
      <c r="P22" s="41"/>
      <c r="Q22" s="43"/>
      <c r="R22" s="160" t="s">
        <v>1631</v>
      </c>
      <c r="S22" s="145">
        <f>SUM(S16:S21)</f>
        <v>298576.76079999999</v>
      </c>
      <c r="T22" s="145">
        <f>SUM(T16:T21)</f>
        <v>223576.76079999999</v>
      </c>
      <c r="U22" s="145">
        <f>SUM(U16:U21)</f>
        <v>373576.76079999999</v>
      </c>
      <c r="V22" s="145">
        <f>SUM(V16:V21)</f>
        <v>298576.76079999999</v>
      </c>
      <c r="W22" s="7">
        <f t="shared" si="1"/>
        <v>1194307.0432</v>
      </c>
    </row>
    <row r="23" spans="1:24" ht="15" x14ac:dyDescent="0.25">
      <c r="A23" s="8"/>
      <c r="B23" s="41"/>
      <c r="C23" s="41"/>
      <c r="D23" s="41"/>
      <c r="E23" s="41"/>
      <c r="F23" s="43"/>
      <c r="G23" s="160"/>
      <c r="H23" s="145"/>
      <c r="I23" s="145"/>
      <c r="J23" s="145"/>
      <c r="K23" s="145"/>
      <c r="L23" s="7"/>
      <c r="M23" s="41"/>
      <c r="N23" s="41"/>
      <c r="O23" s="41"/>
      <c r="P23" s="41"/>
      <c r="Q23" s="43"/>
      <c r="R23" s="160"/>
      <c r="S23" s="145"/>
      <c r="T23" s="145"/>
      <c r="U23" s="145"/>
      <c r="V23" s="145"/>
      <c r="W23" s="7"/>
    </row>
    <row r="24" spans="1:24" ht="15" x14ac:dyDescent="0.25">
      <c r="A24" s="8" t="s">
        <v>205</v>
      </c>
      <c r="B24" s="41"/>
      <c r="C24" s="41"/>
      <c r="D24" s="41" t="s">
        <v>206</v>
      </c>
      <c r="E24" s="41"/>
      <c r="F24" s="41"/>
      <c r="G24" s="160" t="s">
        <v>1557</v>
      </c>
      <c r="H24" s="146">
        <v>134690</v>
      </c>
      <c r="I24" s="146">
        <v>321810</v>
      </c>
      <c r="J24" s="146">
        <v>89640</v>
      </c>
      <c r="K24" s="146">
        <v>137023</v>
      </c>
      <c r="L24" s="7">
        <f>SUM(H24:K24)</f>
        <v>683163</v>
      </c>
      <c r="M24" s="145" t="e">
        <f>SUM(M17:M21)</f>
        <v>#REF!</v>
      </c>
      <c r="N24" s="145">
        <f>SUM(N17:N21)</f>
        <v>192450.2929</v>
      </c>
      <c r="O24" s="145" t="e">
        <f>SUM(O17:O21)</f>
        <v>#REF!</v>
      </c>
      <c r="P24" s="145" t="e">
        <f>SUM(P17:P21)</f>
        <v>#REF!</v>
      </c>
      <c r="Q24" s="43" t="e">
        <f>SUM(M24:P24)</f>
        <v>#REF!</v>
      </c>
      <c r="R24" s="160" t="s">
        <v>1557</v>
      </c>
      <c r="S24" s="146">
        <v>188280.52</v>
      </c>
      <c r="T24" s="146">
        <v>453634.65</v>
      </c>
      <c r="U24" s="146">
        <v>89586.94</v>
      </c>
      <c r="V24" s="146">
        <v>227809.66</v>
      </c>
      <c r="W24" s="7">
        <f>SUM(S24:V24)</f>
        <v>959311.77000000014</v>
      </c>
      <c r="X24" s="235">
        <f>SUM(W22:W24)</f>
        <v>2153618.8132000002</v>
      </c>
    </row>
    <row r="25" spans="1:24" ht="15" x14ac:dyDescent="0.25">
      <c r="A25" s="8"/>
      <c r="B25" s="41"/>
      <c r="C25" s="41"/>
      <c r="D25" s="41"/>
      <c r="E25" s="41"/>
      <c r="F25" s="41"/>
      <c r="G25" s="160"/>
      <c r="H25" s="146"/>
      <c r="I25" s="146"/>
      <c r="J25" s="146"/>
      <c r="K25" s="146"/>
      <c r="L25" s="7"/>
      <c r="M25" s="145"/>
      <c r="N25" s="145"/>
      <c r="O25" s="145"/>
      <c r="P25" s="145"/>
      <c r="Q25" s="43"/>
      <c r="R25" s="160"/>
      <c r="S25" s="146"/>
      <c r="T25" s="146"/>
      <c r="U25" s="146"/>
      <c r="V25" s="146"/>
      <c r="W25" s="7"/>
    </row>
    <row r="26" spans="1:24" x14ac:dyDescent="0.2">
      <c r="A26" s="8"/>
      <c r="B26" s="41"/>
      <c r="C26" s="41"/>
      <c r="D26" s="41"/>
      <c r="E26" s="41"/>
      <c r="F26" s="41"/>
      <c r="G26" s="6" t="s">
        <v>169</v>
      </c>
      <c r="H26" s="145">
        <f>SUM(H22:H24)</f>
        <v>483878.95189999999</v>
      </c>
      <c r="I26" s="145">
        <f>SUM(I22:I24)</f>
        <v>670998.95189999999</v>
      </c>
      <c r="J26" s="145">
        <f>SUM(J22:J24)</f>
        <v>438828.95189999999</v>
      </c>
      <c r="K26" s="145">
        <f>SUM(K22:K24)</f>
        <v>486211.95189999999</v>
      </c>
      <c r="L26" s="145">
        <f>SUM(L22:L24)</f>
        <v>2079918.8075999999</v>
      </c>
      <c r="M26" s="145"/>
      <c r="N26" s="145"/>
      <c r="O26" s="145"/>
      <c r="P26" s="145"/>
      <c r="Q26" s="43"/>
      <c r="R26" s="6" t="s">
        <v>169</v>
      </c>
      <c r="S26" s="145">
        <f>SUM(S22:S24)</f>
        <v>486857.28079999995</v>
      </c>
      <c r="T26" s="145">
        <f>SUM(T22:T24)</f>
        <v>677211.41079999995</v>
      </c>
      <c r="U26" s="145">
        <f>SUM(U22:U24)</f>
        <v>463163.70079999999</v>
      </c>
      <c r="V26" s="145">
        <f>SUM(V22:V24)</f>
        <v>526386.42079999996</v>
      </c>
      <c r="W26" s="145">
        <f>SUM(W22:W24)</f>
        <v>2153618.8132000002</v>
      </c>
      <c r="X26" s="235"/>
    </row>
    <row r="27" spans="1:24" ht="15" x14ac:dyDescent="0.25">
      <c r="A27" s="10"/>
      <c r="B27" s="41"/>
      <c r="C27" s="41"/>
      <c r="D27" s="41"/>
      <c r="E27" s="41"/>
      <c r="F27" s="6"/>
      <c r="G27" s="6"/>
      <c r="H27" s="145"/>
      <c r="I27" s="145"/>
      <c r="J27" s="145"/>
      <c r="K27" s="145"/>
      <c r="L27" s="7"/>
      <c r="M27" s="41"/>
      <c r="N27" s="41"/>
      <c r="O27" s="41"/>
      <c r="P27" s="41"/>
      <c r="Q27" s="6"/>
      <c r="R27" s="6"/>
      <c r="S27" s="145"/>
      <c r="T27" s="145"/>
      <c r="U27" s="145"/>
      <c r="V27" s="145"/>
      <c r="W27" s="407"/>
    </row>
    <row r="28" spans="1:24" x14ac:dyDescent="0.2">
      <c r="A28" s="6" t="s">
        <v>1387</v>
      </c>
      <c r="B28" s="145">
        <v>221280</v>
      </c>
      <c r="C28" s="145">
        <v>159031</v>
      </c>
      <c r="D28" s="145">
        <v>153707</v>
      </c>
      <c r="E28" s="145">
        <v>217748</v>
      </c>
      <c r="F28" s="43">
        <f>SUM(B28:E28)</f>
        <v>751766</v>
      </c>
      <c r="G28" s="2"/>
      <c r="H28" s="3"/>
      <c r="I28" s="2"/>
      <c r="J28" s="2"/>
      <c r="K28" s="2"/>
      <c r="L28" s="50"/>
      <c r="M28" s="145" t="e">
        <f>SUM(M24:M27)</f>
        <v>#REF!</v>
      </c>
      <c r="N28" s="145">
        <f>SUM(N24:N27)</f>
        <v>192450.2929</v>
      </c>
      <c r="O28" s="145" t="e">
        <f>SUM(O24:O27)</f>
        <v>#REF!</v>
      </c>
      <c r="P28" s="145" t="e">
        <f>SUM(P24:P27)</f>
        <v>#REF!</v>
      </c>
      <c r="Q28" s="51" t="e">
        <f>SUM(Q24:Q27)</f>
        <v>#REF!</v>
      </c>
      <c r="R28" s="2"/>
      <c r="S28" s="3"/>
      <c r="T28" s="3"/>
      <c r="U28" s="3"/>
      <c r="V28" s="3"/>
      <c r="W28" s="50"/>
    </row>
    <row r="29" spans="1:24" x14ac:dyDescent="0.2">
      <c r="A29" s="6"/>
      <c r="B29" s="41"/>
      <c r="C29" s="41"/>
      <c r="D29" s="41"/>
      <c r="E29" s="41"/>
      <c r="F29" s="10"/>
      <c r="G29" s="2"/>
      <c r="H29" s="2"/>
      <c r="I29" s="3"/>
      <c r="J29" s="2"/>
      <c r="K29" s="2"/>
      <c r="L29" s="2"/>
      <c r="M29"/>
      <c r="R29" s="2"/>
      <c r="S29" s="2"/>
      <c r="T29" s="3"/>
      <c r="U29" s="2"/>
      <c r="V29" s="2"/>
      <c r="W29" s="2"/>
    </row>
    <row r="30" spans="1:24" hidden="1" x14ac:dyDescent="0.2">
      <c r="I30" s="46"/>
      <c r="M30"/>
    </row>
    <row r="31" spans="1:24" hidden="1" x14ac:dyDescent="0.2">
      <c r="I31" s="46"/>
      <c r="M31"/>
    </row>
    <row r="32" spans="1:24" hidden="1" x14ac:dyDescent="0.2">
      <c r="I32" s="46"/>
      <c r="M32"/>
    </row>
    <row r="33" spans="9:13" hidden="1" x14ac:dyDescent="0.2">
      <c r="I33" s="46"/>
      <c r="M33"/>
    </row>
    <row r="34" spans="9:13" hidden="1" x14ac:dyDescent="0.2">
      <c r="I34" s="46"/>
      <c r="M34"/>
    </row>
    <row r="35" spans="9:13" hidden="1" x14ac:dyDescent="0.2">
      <c r="I35" s="46"/>
      <c r="M35"/>
    </row>
    <row r="36" spans="9:13" x14ac:dyDescent="0.2">
      <c r="I36" s="46"/>
      <c r="M36"/>
    </row>
  </sheetData>
  <pageMargins left="0.25" right="0.25" top="0.75" bottom="0.75" header="0.3" footer="0.3"/>
  <pageSetup orientation="landscape" r:id="rId1"/>
  <ignoredErrors>
    <ignoredError sqref="F6 L6:L7 W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8"/>
  <sheetViews>
    <sheetView topLeftCell="A19" zoomScale="87" zoomScaleNormal="87" workbookViewId="0">
      <selection activeCell="P9" sqref="P9"/>
    </sheetView>
  </sheetViews>
  <sheetFormatPr defaultRowHeight="14.25" x14ac:dyDescent="0.2"/>
  <cols>
    <col min="1" max="1" width="10.375" style="297" customWidth="1"/>
    <col min="2" max="2" width="30" style="298" customWidth="1"/>
    <col min="3" max="3" width="12" style="290" hidden="1" customWidth="1"/>
    <col min="4" max="5" width="13" style="290" hidden="1" customWidth="1"/>
    <col min="6" max="6" width="11.75" hidden="1" customWidth="1"/>
    <col min="7" max="7" width="13.75" hidden="1" customWidth="1"/>
    <col min="8" max="8" width="13.875" style="46" hidden="1" customWidth="1"/>
    <col min="9" max="9" width="12.375" hidden="1" customWidth="1"/>
    <col min="10" max="10" width="11.875" hidden="1" customWidth="1"/>
    <col min="11" max="11" width="16" style="235" hidden="1" customWidth="1"/>
    <col min="12" max="12" width="18" hidden="1" customWidth="1"/>
    <col min="13" max="13" width="16.375" hidden="1" customWidth="1"/>
    <col min="14" max="14" width="15.375" customWidth="1"/>
    <col min="19" max="22" width="8"/>
    <col min="23" max="23" width="12.25" customWidth="1"/>
  </cols>
  <sheetData>
    <row r="1" spans="1:17" ht="60" x14ac:dyDescent="0.25">
      <c r="A1" s="280"/>
      <c r="B1" s="281" t="s">
        <v>5</v>
      </c>
      <c r="C1" s="282" t="s">
        <v>211</v>
      </c>
      <c r="D1" s="282" t="s">
        <v>212</v>
      </c>
      <c r="E1" s="282" t="s">
        <v>213</v>
      </c>
      <c r="F1" s="143" t="s">
        <v>1351</v>
      </c>
      <c r="G1" s="143" t="s">
        <v>1352</v>
      </c>
      <c r="H1" s="143" t="s">
        <v>1496</v>
      </c>
      <c r="I1" s="143" t="s">
        <v>1494</v>
      </c>
      <c r="J1" s="143" t="s">
        <v>1513</v>
      </c>
      <c r="K1" s="47" t="s">
        <v>1569</v>
      </c>
      <c r="L1" s="143" t="s">
        <v>1568</v>
      </c>
      <c r="M1" s="605" t="s">
        <v>1634</v>
      </c>
      <c r="N1" s="550" t="s">
        <v>1686</v>
      </c>
    </row>
    <row r="2" spans="1:17" x14ac:dyDescent="0.2">
      <c r="A2" s="283"/>
      <c r="B2" s="284"/>
      <c r="C2" s="285"/>
      <c r="D2" s="286"/>
      <c r="E2" s="286"/>
      <c r="F2" s="2"/>
      <c r="G2" s="2"/>
      <c r="H2" s="3"/>
      <c r="I2" s="151"/>
      <c r="J2" s="151"/>
      <c r="K2" s="50"/>
      <c r="L2" s="2"/>
      <c r="M2" s="156"/>
      <c r="N2" s="44"/>
    </row>
    <row r="3" spans="1:17" x14ac:dyDescent="0.2">
      <c r="A3" s="283"/>
      <c r="B3" s="283"/>
      <c r="C3" s="285"/>
      <c r="D3" s="286"/>
      <c r="E3" s="286"/>
      <c r="F3" s="2"/>
      <c r="G3" s="2"/>
      <c r="H3" s="3"/>
      <c r="I3" s="151"/>
      <c r="J3" s="151"/>
      <c r="K3" s="50"/>
      <c r="L3" s="2"/>
      <c r="M3" s="156"/>
      <c r="N3" s="44"/>
    </row>
    <row r="4" spans="1:17" x14ac:dyDescent="0.2">
      <c r="A4" s="283" t="s">
        <v>214</v>
      </c>
      <c r="B4" s="287" t="s">
        <v>215</v>
      </c>
      <c r="C4" s="286">
        <v>35381.220999999998</v>
      </c>
      <c r="D4" s="286">
        <v>17690.64</v>
      </c>
      <c r="E4" s="286">
        <v>35381.220999999998</v>
      </c>
      <c r="F4" s="3">
        <v>18282.080000000002</v>
      </c>
      <c r="G4" s="286">
        <f>SUM(E$4*1.03)</f>
        <v>36442.657630000002</v>
      </c>
      <c r="H4" s="50">
        <v>41286</v>
      </c>
      <c r="I4" s="223">
        <v>20007.84</v>
      </c>
      <c r="J4" s="3">
        <v>44286</v>
      </c>
      <c r="K4" s="286">
        <v>44286</v>
      </c>
      <c r="L4" s="288">
        <v>22994.55</v>
      </c>
      <c r="M4" s="606">
        <f>SUM(K4*1.03)</f>
        <v>45614.58</v>
      </c>
      <c r="N4" s="286">
        <f>SUM(M4*1.03)</f>
        <v>46983.017400000004</v>
      </c>
    </row>
    <row r="5" spans="1:17" x14ac:dyDescent="0.2">
      <c r="A5" s="283" t="s">
        <v>216</v>
      </c>
      <c r="B5" s="287" t="s">
        <v>1345</v>
      </c>
      <c r="C5" s="286">
        <v>26426.833599999998</v>
      </c>
      <c r="D5" s="286">
        <v>13335.98</v>
      </c>
      <c r="E5" s="286">
        <v>26426.833599999998</v>
      </c>
      <c r="F5" s="3">
        <v>13613.6</v>
      </c>
      <c r="G5" s="286">
        <f>SUM(E$5*1.03)</f>
        <v>27219.638607999997</v>
      </c>
      <c r="H5" s="50">
        <v>30597</v>
      </c>
      <c r="I5" s="151">
        <v>14559.23</v>
      </c>
      <c r="J5" s="3">
        <v>32097</v>
      </c>
      <c r="K5" s="286">
        <v>32097</v>
      </c>
      <c r="L5" s="288">
        <v>15612.61</v>
      </c>
      <c r="M5" s="606">
        <f>SUM(K5*1.03)</f>
        <v>33059.910000000003</v>
      </c>
      <c r="N5" s="286">
        <f>SUM(M5*1.03)</f>
        <v>34051.707300000002</v>
      </c>
    </row>
    <row r="6" spans="1:17" x14ac:dyDescent="0.2">
      <c r="A6" s="283" t="s">
        <v>217</v>
      </c>
      <c r="B6" s="287" t="s">
        <v>218</v>
      </c>
      <c r="C6" s="286">
        <v>750</v>
      </c>
      <c r="D6" s="286">
        <v>0</v>
      </c>
      <c r="E6" s="286">
        <v>750</v>
      </c>
      <c r="F6" s="3">
        <v>0</v>
      </c>
      <c r="G6" s="286">
        <v>750</v>
      </c>
      <c r="H6" s="286">
        <v>1000</v>
      </c>
      <c r="I6" s="151">
        <v>0</v>
      </c>
      <c r="J6" s="286">
        <v>1000</v>
      </c>
      <c r="K6" s="286">
        <v>1000</v>
      </c>
      <c r="L6" s="288">
        <v>0</v>
      </c>
      <c r="M6" s="606">
        <v>1000</v>
      </c>
      <c r="N6" s="286">
        <v>1000</v>
      </c>
    </row>
    <row r="7" spans="1:17" x14ac:dyDescent="0.2">
      <c r="A7" s="283" t="s">
        <v>219</v>
      </c>
      <c r="B7" s="287" t="s">
        <v>220</v>
      </c>
      <c r="C7" s="286">
        <v>1295</v>
      </c>
      <c r="D7" s="286">
        <v>750</v>
      </c>
      <c r="E7" s="286">
        <v>1295</v>
      </c>
      <c r="F7" s="3">
        <v>780</v>
      </c>
      <c r="G7" s="286">
        <v>1635</v>
      </c>
      <c r="H7" s="286">
        <v>1200</v>
      </c>
      <c r="I7" s="151">
        <v>650</v>
      </c>
      <c r="J7" s="286">
        <v>1200</v>
      </c>
      <c r="K7" s="286">
        <v>1200</v>
      </c>
      <c r="L7" s="288">
        <v>650</v>
      </c>
      <c r="M7" s="329">
        <v>1312.5</v>
      </c>
      <c r="N7" s="611">
        <v>0</v>
      </c>
    </row>
    <row r="8" spans="1:17" x14ac:dyDescent="0.2">
      <c r="A8" s="283" t="s">
        <v>221</v>
      </c>
      <c r="B8" s="287" t="s">
        <v>222</v>
      </c>
      <c r="C8" s="286">
        <v>2319.04</v>
      </c>
      <c r="D8" s="286">
        <v>2319.04</v>
      </c>
      <c r="E8" s="286"/>
      <c r="F8" s="3">
        <v>0</v>
      </c>
      <c r="G8" s="286"/>
      <c r="H8" s="3"/>
      <c r="I8" s="151">
        <v>0</v>
      </c>
      <c r="J8" s="3"/>
      <c r="K8" s="3"/>
      <c r="L8" s="2">
        <v>0</v>
      </c>
      <c r="M8" s="90"/>
      <c r="N8" s="3"/>
    </row>
    <row r="9" spans="1:17" x14ac:dyDescent="0.2">
      <c r="A9" s="283" t="s">
        <v>223</v>
      </c>
      <c r="B9" s="287" t="s">
        <v>224</v>
      </c>
      <c r="C9" s="286">
        <v>25200</v>
      </c>
      <c r="D9" s="286">
        <v>12600</v>
      </c>
      <c r="E9" s="286">
        <v>25200</v>
      </c>
      <c r="F9" s="3">
        <v>12642</v>
      </c>
      <c r="G9" s="286">
        <v>25200</v>
      </c>
      <c r="H9" s="286">
        <v>25200</v>
      </c>
      <c r="I9" s="151">
        <v>12212.3</v>
      </c>
      <c r="J9" s="286">
        <v>25200</v>
      </c>
      <c r="K9" s="286">
        <v>25200</v>
      </c>
      <c r="L9" s="288">
        <v>13084.6</v>
      </c>
      <c r="M9" s="606">
        <v>25200</v>
      </c>
      <c r="N9" s="286">
        <v>25200</v>
      </c>
    </row>
    <row r="10" spans="1:17" x14ac:dyDescent="0.2">
      <c r="A10" s="283" t="s">
        <v>225</v>
      </c>
      <c r="B10" s="287" t="s">
        <v>226</v>
      </c>
      <c r="C10" s="286">
        <v>350</v>
      </c>
      <c r="D10" s="286">
        <v>180.31</v>
      </c>
      <c r="E10" s="286">
        <v>350</v>
      </c>
      <c r="F10" s="3">
        <v>160.41</v>
      </c>
      <c r="G10" s="286">
        <v>400</v>
      </c>
      <c r="H10" s="286">
        <v>550</v>
      </c>
      <c r="I10" s="151">
        <v>118.71</v>
      </c>
      <c r="J10" s="286">
        <v>550</v>
      </c>
      <c r="K10" s="286">
        <v>450</v>
      </c>
      <c r="L10" s="288">
        <v>146.5</v>
      </c>
      <c r="M10" s="606">
        <v>450</v>
      </c>
      <c r="N10" s="286">
        <v>450</v>
      </c>
    </row>
    <row r="11" spans="1:17" x14ac:dyDescent="0.2">
      <c r="A11" s="283" t="s">
        <v>227</v>
      </c>
      <c r="B11" s="287" t="s">
        <v>228</v>
      </c>
      <c r="C11" s="289">
        <f>SUM($C4:$C9)*0.12</f>
        <v>10964.651351999999</v>
      </c>
      <c r="D11" s="286">
        <v>5695.76</v>
      </c>
      <c r="F11" s="3">
        <v>5339.04</v>
      </c>
      <c r="G11" s="289">
        <f>SUM(G$4:G$9)*0.12</f>
        <v>10949.675548559999</v>
      </c>
      <c r="H11" s="289">
        <f>SUM(H$4:H$9)*0.111</f>
        <v>11020.413</v>
      </c>
      <c r="I11" s="151">
        <v>5528.92</v>
      </c>
      <c r="J11" s="289">
        <f>SUM(J$4:J$9)*0.099</f>
        <v>10274.517</v>
      </c>
      <c r="K11" s="289">
        <f>SUM(K$4:K$9)*0.099</f>
        <v>10274.517</v>
      </c>
      <c r="L11" s="288">
        <v>5802.21</v>
      </c>
      <c r="M11" s="367">
        <f>SUM(M$4:M$9)*0.095</f>
        <v>10087.76405</v>
      </c>
      <c r="N11" s="289">
        <f>SUM(N$4:N$9)*0.085</f>
        <v>9114.951599500002</v>
      </c>
    </row>
    <row r="12" spans="1:17" x14ac:dyDescent="0.2">
      <c r="A12" s="283" t="s">
        <v>229</v>
      </c>
      <c r="B12" s="287" t="s">
        <v>230</v>
      </c>
      <c r="C12" s="289">
        <f>SUM($C4:$C9)*0.0145</f>
        <v>1324.8953716999999</v>
      </c>
      <c r="D12" s="286">
        <v>684.44</v>
      </c>
      <c r="E12" s="289">
        <v>1291.27</v>
      </c>
      <c r="F12" s="3">
        <v>663</v>
      </c>
      <c r="G12" s="289">
        <f>SUM(G$4:G$9)*0.0145</f>
        <v>1323.085795451</v>
      </c>
      <c r="H12" s="289">
        <f>SUM(H$4:H$9)*0.0145</f>
        <v>1439.6035000000002</v>
      </c>
      <c r="I12" s="151">
        <v>713.59</v>
      </c>
      <c r="J12" s="289">
        <f>SUM(J$4:J$9)*0.0145</f>
        <v>1504.8535000000002</v>
      </c>
      <c r="K12" s="289">
        <f>SUM(K$4:K$9)*0.0145</f>
        <v>1504.8535000000002</v>
      </c>
      <c r="L12" s="288">
        <v>800.19</v>
      </c>
      <c r="M12" s="367">
        <f>SUM(M$4:M$9)*0.0145</f>
        <v>1539.7113550000001</v>
      </c>
      <c r="N12" s="289">
        <f>SUM(N$4:N$9)*0.0145</f>
        <v>1554.9035081500001</v>
      </c>
      <c r="Q12" s="330"/>
    </row>
    <row r="13" spans="1:17" x14ac:dyDescent="0.2">
      <c r="A13" s="283" t="s">
        <v>231</v>
      </c>
      <c r="B13" s="287" t="s">
        <v>232</v>
      </c>
      <c r="C13" s="289">
        <f>SUM($C4:$C9)*0.062</f>
        <v>5665.0698652000001</v>
      </c>
      <c r="D13" s="286">
        <v>2926.32</v>
      </c>
      <c r="E13" s="289">
        <v>5521.29</v>
      </c>
      <c r="F13" s="3">
        <v>2835.06</v>
      </c>
      <c r="G13" s="289">
        <f>SUM(G$4:G$9)*0.062</f>
        <v>5657.3323667559998</v>
      </c>
      <c r="H13" s="289">
        <f>SUM(H$4:H$9)*0.062</f>
        <v>6155.5460000000003</v>
      </c>
      <c r="I13" s="151">
        <v>3051.3</v>
      </c>
      <c r="J13" s="289">
        <f>SUM(J$4:J$9)*0.062</f>
        <v>6434.5460000000003</v>
      </c>
      <c r="K13" s="289">
        <f>SUM(K$4:K$9)*0.062</f>
        <v>6434.5460000000003</v>
      </c>
      <c r="L13" s="288">
        <v>3421.81</v>
      </c>
      <c r="M13" s="367">
        <f>SUM(M$4:M$9)*0.062</f>
        <v>6583.5933800000003</v>
      </c>
      <c r="N13" s="289">
        <f>SUM(N$4:N$9)*0.062</f>
        <v>6648.5529314000005</v>
      </c>
    </row>
    <row r="14" spans="1:17" x14ac:dyDescent="0.2">
      <c r="A14" s="283" t="s">
        <v>233</v>
      </c>
      <c r="B14" s="287" t="s">
        <v>234</v>
      </c>
      <c r="C14" s="291">
        <v>18232.32</v>
      </c>
      <c r="D14" s="286">
        <v>9875.84</v>
      </c>
      <c r="E14" s="286">
        <v>18596.96</v>
      </c>
      <c r="F14" s="3">
        <v>10073.18</v>
      </c>
      <c r="G14" s="286">
        <v>18596.96</v>
      </c>
      <c r="H14" s="286">
        <v>21260</v>
      </c>
      <c r="I14" s="151">
        <v>11500.32</v>
      </c>
      <c r="J14" s="286">
        <v>22611.360000000001</v>
      </c>
      <c r="K14" s="286">
        <v>22611.360000000001</v>
      </c>
      <c r="L14" s="288">
        <v>12247.82</v>
      </c>
      <c r="M14" s="606">
        <v>24216</v>
      </c>
      <c r="N14" s="286">
        <v>25524.48</v>
      </c>
    </row>
    <row r="15" spans="1:17" x14ac:dyDescent="0.2">
      <c r="A15" s="283" t="s">
        <v>235</v>
      </c>
      <c r="B15" s="287" t="s">
        <v>236</v>
      </c>
      <c r="C15" s="286"/>
      <c r="D15" s="286">
        <v>0</v>
      </c>
      <c r="E15" s="286"/>
      <c r="F15" s="3">
        <v>0</v>
      </c>
      <c r="G15" s="286"/>
      <c r="H15" s="3"/>
      <c r="I15" s="151">
        <v>0</v>
      </c>
      <c r="J15" s="3"/>
      <c r="K15" s="3"/>
      <c r="L15" s="288">
        <v>0</v>
      </c>
      <c r="M15" s="90"/>
      <c r="N15" s="3"/>
    </row>
    <row r="16" spans="1:17" x14ac:dyDescent="0.2">
      <c r="A16" s="283" t="s">
        <v>1570</v>
      </c>
      <c r="B16" s="287" t="s">
        <v>1571</v>
      </c>
      <c r="C16" s="286"/>
      <c r="D16" s="286"/>
      <c r="E16" s="286"/>
      <c r="F16" s="3"/>
      <c r="G16" s="286"/>
      <c r="H16" s="3"/>
      <c r="I16" s="151"/>
      <c r="J16" s="3"/>
      <c r="K16" s="3"/>
      <c r="L16" s="288">
        <v>764.2</v>
      </c>
      <c r="M16" s="90"/>
      <c r="N16" s="3"/>
    </row>
    <row r="17" spans="1:14" x14ac:dyDescent="0.2">
      <c r="A17" s="283" t="s">
        <v>237</v>
      </c>
      <c r="B17" s="287" t="s">
        <v>238</v>
      </c>
      <c r="C17" s="286">
        <v>4200</v>
      </c>
      <c r="D17" s="286">
        <v>2100</v>
      </c>
      <c r="E17" s="286">
        <v>4200</v>
      </c>
      <c r="F17" s="3">
        <v>2107</v>
      </c>
      <c r="G17" s="286">
        <v>4200</v>
      </c>
      <c r="H17" s="286">
        <v>4200</v>
      </c>
      <c r="I17" s="151">
        <v>2100.02</v>
      </c>
      <c r="J17" s="286">
        <v>4200</v>
      </c>
      <c r="K17" s="286">
        <v>4200</v>
      </c>
      <c r="L17" s="288">
        <v>2261.56</v>
      </c>
      <c r="M17" s="606">
        <v>4200</v>
      </c>
      <c r="N17" s="286">
        <v>4200</v>
      </c>
    </row>
    <row r="18" spans="1:14" x14ac:dyDescent="0.2">
      <c r="A18" s="283" t="s">
        <v>239</v>
      </c>
      <c r="B18" s="287" t="s">
        <v>240</v>
      </c>
      <c r="C18" s="286">
        <v>1200</v>
      </c>
      <c r="D18" s="286">
        <v>408.67</v>
      </c>
      <c r="E18" s="286">
        <v>1200</v>
      </c>
      <c r="F18" s="3">
        <v>607.23</v>
      </c>
      <c r="G18" s="286">
        <v>1400</v>
      </c>
      <c r="H18" s="286">
        <v>1750</v>
      </c>
      <c r="I18" s="151">
        <v>495.17</v>
      </c>
      <c r="J18" s="286">
        <v>2000</v>
      </c>
      <c r="K18" s="286">
        <v>2000</v>
      </c>
      <c r="L18" s="288">
        <v>623.73</v>
      </c>
      <c r="M18" s="606">
        <v>2000</v>
      </c>
      <c r="N18" s="286">
        <v>2500</v>
      </c>
    </row>
    <row r="19" spans="1:14" x14ac:dyDescent="0.2">
      <c r="A19" s="283" t="s">
        <v>241</v>
      </c>
      <c r="B19" s="287" t="s">
        <v>242</v>
      </c>
      <c r="C19" s="286">
        <v>400</v>
      </c>
      <c r="D19" s="286">
        <v>86.87</v>
      </c>
      <c r="E19" s="286">
        <v>400</v>
      </c>
      <c r="F19" s="3">
        <v>88.33</v>
      </c>
      <c r="G19" s="286">
        <v>400</v>
      </c>
      <c r="H19" s="286">
        <v>400</v>
      </c>
      <c r="I19" s="151">
        <v>58</v>
      </c>
      <c r="J19" s="286">
        <v>300</v>
      </c>
      <c r="K19" s="286">
        <v>300</v>
      </c>
      <c r="L19" s="288">
        <v>0</v>
      </c>
      <c r="M19" s="606">
        <v>300</v>
      </c>
      <c r="N19" s="286">
        <v>500</v>
      </c>
    </row>
    <row r="20" spans="1:14" x14ac:dyDescent="0.2">
      <c r="A20" s="283" t="s">
        <v>243</v>
      </c>
      <c r="B20" s="287" t="s">
        <v>244</v>
      </c>
      <c r="C20" s="289">
        <v>300</v>
      </c>
      <c r="D20" s="286">
        <v>44.2</v>
      </c>
      <c r="E20" s="289">
        <v>300</v>
      </c>
      <c r="F20" s="3">
        <v>54.7</v>
      </c>
      <c r="G20" s="289">
        <v>300</v>
      </c>
      <c r="H20" s="289">
        <v>300</v>
      </c>
      <c r="I20" s="151">
        <v>0</v>
      </c>
      <c r="J20" s="289">
        <v>300</v>
      </c>
      <c r="K20" s="289">
        <v>300</v>
      </c>
      <c r="L20" s="288">
        <v>0</v>
      </c>
      <c r="M20" s="367">
        <v>300</v>
      </c>
      <c r="N20" s="289">
        <v>500</v>
      </c>
    </row>
    <row r="21" spans="1:14" x14ac:dyDescent="0.2">
      <c r="A21" s="283" t="s">
        <v>245</v>
      </c>
      <c r="B21" s="287" t="s">
        <v>246</v>
      </c>
      <c r="C21" s="289">
        <v>500</v>
      </c>
      <c r="D21" s="286">
        <v>0</v>
      </c>
      <c r="E21" s="289">
        <v>500</v>
      </c>
      <c r="F21" s="3">
        <v>0</v>
      </c>
      <c r="G21" s="289">
        <v>500</v>
      </c>
      <c r="H21" s="289">
        <v>500</v>
      </c>
      <c r="I21" s="151">
        <v>0</v>
      </c>
      <c r="J21" s="289">
        <v>500</v>
      </c>
      <c r="K21" s="289">
        <v>500</v>
      </c>
      <c r="L21" s="288">
        <v>0</v>
      </c>
      <c r="M21" s="367">
        <v>500</v>
      </c>
      <c r="N21" s="289">
        <v>1968.4</v>
      </c>
    </row>
    <row r="22" spans="1:14" x14ac:dyDescent="0.2">
      <c r="A22" s="283" t="s">
        <v>247</v>
      </c>
      <c r="B22" s="287" t="s">
        <v>248</v>
      </c>
      <c r="C22" s="289">
        <v>200</v>
      </c>
      <c r="D22" s="286">
        <v>0</v>
      </c>
      <c r="E22" s="289">
        <v>200</v>
      </c>
      <c r="F22" s="3">
        <v>0</v>
      </c>
      <c r="G22" s="289">
        <v>200</v>
      </c>
      <c r="H22" s="289">
        <v>200</v>
      </c>
      <c r="I22" s="151">
        <v>0</v>
      </c>
      <c r="J22" s="289">
        <v>400</v>
      </c>
      <c r="K22" s="289">
        <v>400</v>
      </c>
      <c r="L22" s="288">
        <v>1242.5</v>
      </c>
      <c r="M22" s="367">
        <v>400</v>
      </c>
      <c r="N22" s="289">
        <v>200</v>
      </c>
    </row>
    <row r="23" spans="1:14" x14ac:dyDescent="0.2">
      <c r="A23" s="283" t="s">
        <v>249</v>
      </c>
      <c r="B23" s="287" t="s">
        <v>250</v>
      </c>
      <c r="C23" s="292">
        <v>3500</v>
      </c>
      <c r="D23" s="286">
        <v>2201.5700000000002</v>
      </c>
      <c r="E23" s="292">
        <v>3500</v>
      </c>
      <c r="F23" s="3">
        <v>895.7</v>
      </c>
      <c r="G23" s="292">
        <v>3500</v>
      </c>
      <c r="H23" s="292">
        <v>4250</v>
      </c>
      <c r="I23" s="151">
        <v>1481.07</v>
      </c>
      <c r="J23" s="292">
        <v>4250</v>
      </c>
      <c r="K23" s="292">
        <v>4250</v>
      </c>
      <c r="L23" s="288">
        <v>4172.1499999999996</v>
      </c>
      <c r="M23" s="368">
        <v>5000</v>
      </c>
      <c r="N23" s="292">
        <v>6500</v>
      </c>
    </row>
    <row r="24" spans="1:14" x14ac:dyDescent="0.2">
      <c r="A24" s="283" t="s">
        <v>251</v>
      </c>
      <c r="B24" s="287" t="s">
        <v>252</v>
      </c>
      <c r="C24" s="289">
        <v>150</v>
      </c>
      <c r="D24" s="286">
        <v>0</v>
      </c>
      <c r="E24" s="289">
        <v>150</v>
      </c>
      <c r="F24" s="3">
        <v>200</v>
      </c>
      <c r="G24" s="289">
        <v>150</v>
      </c>
      <c r="H24" s="289">
        <v>450</v>
      </c>
      <c r="I24" s="151">
        <v>400</v>
      </c>
      <c r="J24" s="289">
        <v>450</v>
      </c>
      <c r="K24" s="289">
        <v>450</v>
      </c>
      <c r="L24" s="288">
        <v>400</v>
      </c>
      <c r="M24" s="367">
        <v>450</v>
      </c>
      <c r="N24" s="289">
        <v>850</v>
      </c>
    </row>
    <row r="25" spans="1:14" x14ac:dyDescent="0.2">
      <c r="A25" s="283" t="s">
        <v>253</v>
      </c>
      <c r="B25" s="287" t="s">
        <v>254</v>
      </c>
      <c r="C25" s="289">
        <v>3000</v>
      </c>
      <c r="D25" s="286">
        <v>1348.78</v>
      </c>
      <c r="E25" s="289">
        <v>3000</v>
      </c>
      <c r="F25" s="3">
        <v>1171.3399999999999</v>
      </c>
      <c r="G25" s="289">
        <v>3000</v>
      </c>
      <c r="H25" s="289">
        <v>3000</v>
      </c>
      <c r="I25" s="151">
        <v>0</v>
      </c>
      <c r="J25" s="289">
        <v>3000</v>
      </c>
      <c r="K25" s="289">
        <v>3000</v>
      </c>
      <c r="L25" s="288">
        <v>0</v>
      </c>
      <c r="M25" s="367">
        <v>3000</v>
      </c>
      <c r="N25" s="289">
        <v>250</v>
      </c>
    </row>
    <row r="26" spans="1:14" x14ac:dyDescent="0.2">
      <c r="A26" s="283" t="s">
        <v>255</v>
      </c>
      <c r="B26" s="287" t="s">
        <v>256</v>
      </c>
      <c r="C26" s="289">
        <v>300</v>
      </c>
      <c r="D26" s="286">
        <v>27.5</v>
      </c>
      <c r="E26" s="289">
        <v>300</v>
      </c>
      <c r="F26" s="3">
        <v>0</v>
      </c>
      <c r="G26" s="289">
        <v>300</v>
      </c>
      <c r="H26" s="289">
        <v>300</v>
      </c>
      <c r="I26" s="151"/>
      <c r="J26" s="289">
        <v>300</v>
      </c>
      <c r="K26" s="289">
        <v>300</v>
      </c>
      <c r="L26" s="288">
        <v>60</v>
      </c>
      <c r="M26" s="367">
        <v>300</v>
      </c>
      <c r="N26" s="289">
        <v>300</v>
      </c>
    </row>
    <row r="27" spans="1:14" x14ac:dyDescent="0.2">
      <c r="A27" s="283" t="s">
        <v>257</v>
      </c>
      <c r="B27" s="287" t="s">
        <v>258</v>
      </c>
      <c r="C27" s="289">
        <v>200</v>
      </c>
      <c r="D27" s="286">
        <v>0</v>
      </c>
      <c r="E27" s="289">
        <v>200</v>
      </c>
      <c r="F27" s="3">
        <v>0</v>
      </c>
      <c r="G27" s="289">
        <v>200</v>
      </c>
      <c r="H27" s="289">
        <v>200</v>
      </c>
      <c r="I27" s="151">
        <v>0</v>
      </c>
      <c r="J27" s="289">
        <v>200</v>
      </c>
      <c r="K27" s="289">
        <v>200</v>
      </c>
      <c r="L27" s="288">
        <v>501.57</v>
      </c>
      <c r="M27" s="367">
        <v>200</v>
      </c>
      <c r="N27" s="289">
        <v>300</v>
      </c>
    </row>
    <row r="28" spans="1:14" x14ac:dyDescent="0.2">
      <c r="A28" s="283" t="s">
        <v>259</v>
      </c>
      <c r="B28" s="287" t="s">
        <v>260</v>
      </c>
      <c r="C28" s="289">
        <v>500</v>
      </c>
      <c r="D28" s="286">
        <v>122.73</v>
      </c>
      <c r="E28" s="289">
        <v>500</v>
      </c>
      <c r="F28" s="3">
        <v>97.5</v>
      </c>
      <c r="G28" s="289">
        <v>2000</v>
      </c>
      <c r="H28" s="289">
        <v>750</v>
      </c>
      <c r="I28" s="151">
        <v>153.08000000000001</v>
      </c>
      <c r="J28" s="289">
        <v>750</v>
      </c>
      <c r="K28" s="289">
        <v>750</v>
      </c>
      <c r="L28" s="288">
        <v>0</v>
      </c>
      <c r="M28" s="367">
        <v>750</v>
      </c>
      <c r="N28" s="289">
        <v>2000</v>
      </c>
    </row>
    <row r="29" spans="1:14" x14ac:dyDescent="0.2">
      <c r="A29" s="283" t="s">
        <v>261</v>
      </c>
      <c r="B29" s="287" t="s">
        <v>262</v>
      </c>
      <c r="C29" s="289"/>
      <c r="D29" s="286">
        <v>0</v>
      </c>
      <c r="E29" s="289">
        <v>450</v>
      </c>
      <c r="F29" s="3">
        <v>0</v>
      </c>
      <c r="G29" s="289">
        <v>450</v>
      </c>
      <c r="H29" s="289">
        <v>0</v>
      </c>
      <c r="I29" s="151">
        <v>0</v>
      </c>
      <c r="J29" s="289"/>
      <c r="K29" s="289"/>
      <c r="L29" s="288">
        <v>0</v>
      </c>
      <c r="M29" s="367"/>
      <c r="N29" s="289">
        <v>450</v>
      </c>
    </row>
    <row r="30" spans="1:14" x14ac:dyDescent="0.2">
      <c r="A30" s="283" t="s">
        <v>263</v>
      </c>
      <c r="B30" s="287" t="s">
        <v>264</v>
      </c>
      <c r="C30" s="289">
        <v>709.2</v>
      </c>
      <c r="D30" s="286">
        <v>709.2</v>
      </c>
      <c r="E30" s="289">
        <v>350</v>
      </c>
      <c r="F30" s="3">
        <v>0</v>
      </c>
      <c r="G30" s="289">
        <v>1000</v>
      </c>
      <c r="H30" s="289">
        <v>0</v>
      </c>
      <c r="I30" s="151">
        <v>0</v>
      </c>
      <c r="J30" s="289"/>
      <c r="K30" s="289"/>
      <c r="L30" s="288">
        <v>0</v>
      </c>
      <c r="M30" s="367"/>
      <c r="N30" s="289"/>
    </row>
    <row r="31" spans="1:14" x14ac:dyDescent="0.2">
      <c r="A31" s="293" t="s">
        <v>265</v>
      </c>
      <c r="B31" s="287" t="s">
        <v>266</v>
      </c>
      <c r="C31" s="286">
        <v>1090.8</v>
      </c>
      <c r="D31" s="286"/>
      <c r="E31" s="286">
        <v>450</v>
      </c>
      <c r="F31" s="3">
        <v>0</v>
      </c>
      <c r="G31" s="286">
        <v>0</v>
      </c>
      <c r="H31" s="286">
        <v>0</v>
      </c>
      <c r="I31" s="151">
        <v>0</v>
      </c>
      <c r="J31" s="286"/>
      <c r="K31" s="286"/>
      <c r="L31" s="288">
        <v>0</v>
      </c>
      <c r="M31" s="606"/>
      <c r="N31" s="286"/>
    </row>
    <row r="32" spans="1:14" x14ac:dyDescent="0.2">
      <c r="A32" s="293"/>
      <c r="B32" s="287"/>
      <c r="C32" s="286"/>
      <c r="D32" s="286"/>
      <c r="E32" s="286"/>
      <c r="F32" s="3"/>
      <c r="G32" s="286"/>
      <c r="H32" s="286"/>
      <c r="I32" s="151"/>
      <c r="J32" s="286"/>
      <c r="K32" s="286"/>
      <c r="L32" s="288"/>
      <c r="M32" s="606"/>
      <c r="N32" s="286"/>
    </row>
    <row r="33" spans="1:14" x14ac:dyDescent="0.2">
      <c r="A33" s="293"/>
      <c r="B33" s="287"/>
      <c r="C33" s="286"/>
      <c r="D33" s="286"/>
      <c r="E33" s="286"/>
      <c r="F33" s="3"/>
      <c r="G33" s="286"/>
      <c r="H33" s="286"/>
      <c r="I33" s="151"/>
      <c r="J33" s="286"/>
      <c r="K33" s="286"/>
      <c r="L33" s="288"/>
      <c r="M33" s="606"/>
      <c r="N33" s="286"/>
    </row>
    <row r="34" spans="1:14" x14ac:dyDescent="0.2">
      <c r="A34" s="293"/>
      <c r="B34" s="287"/>
      <c r="C34" s="286"/>
      <c r="D34" s="286"/>
      <c r="E34" s="286"/>
      <c r="F34" s="3"/>
      <c r="G34" s="286"/>
      <c r="H34" s="286"/>
      <c r="I34" s="151"/>
      <c r="J34" s="286"/>
      <c r="K34" s="286"/>
      <c r="L34" s="288"/>
      <c r="M34" s="606"/>
      <c r="N34" s="286"/>
    </row>
    <row r="35" spans="1:14" ht="15" x14ac:dyDescent="0.25">
      <c r="A35" s="280"/>
      <c r="B35" s="294" t="s">
        <v>169</v>
      </c>
      <c r="C35" s="295">
        <f>SUM(C4:C31)</f>
        <v>144159.0311889</v>
      </c>
      <c r="D35" s="286">
        <f>SUM(D4:D30)</f>
        <v>73107.849999999991</v>
      </c>
      <c r="E35" s="286">
        <f>SUM(E4:E30)</f>
        <v>130062.57459999999</v>
      </c>
      <c r="F35" s="4">
        <f t="shared" ref="F35:L35" si="0">SUM(F4:F31)</f>
        <v>69610.169999999984</v>
      </c>
      <c r="G35" s="295">
        <f t="shared" si="0"/>
        <v>145774.34994876699</v>
      </c>
      <c r="H35" s="295">
        <f t="shared" si="0"/>
        <v>156008.5625</v>
      </c>
      <c r="I35" s="161">
        <f t="shared" si="0"/>
        <v>73029.55</v>
      </c>
      <c r="J35" s="295">
        <f t="shared" si="0"/>
        <v>161808.27649999998</v>
      </c>
      <c r="K35" s="295">
        <f t="shared" si="0"/>
        <v>161708.27649999998</v>
      </c>
      <c r="L35" s="295">
        <f t="shared" si="0"/>
        <v>84786</v>
      </c>
      <c r="M35" s="607">
        <f>SUM(M4:M31)</f>
        <v>166464.058785</v>
      </c>
      <c r="N35" s="295">
        <f>SUM(N4:N31)</f>
        <v>171046.01273905</v>
      </c>
    </row>
    <row r="36" spans="1:14" x14ac:dyDescent="0.2">
      <c r="A36" s="283"/>
      <c r="B36" s="296"/>
      <c r="C36" s="285"/>
      <c r="D36" s="286"/>
      <c r="E36" s="286"/>
      <c r="F36" s="2"/>
      <c r="G36" s="2"/>
      <c r="H36" s="3"/>
      <c r="I36" s="151"/>
      <c r="J36" s="151"/>
      <c r="K36" s="151"/>
      <c r="L36" s="2"/>
      <c r="M36" s="163"/>
      <c r="N36" s="44"/>
    </row>
    <row r="37" spans="1:14" x14ac:dyDescent="0.2">
      <c r="N37" s="39"/>
    </row>
    <row r="38" spans="1:14" x14ac:dyDescent="0.2">
      <c r="N38" s="39"/>
    </row>
    <row r="39" spans="1:14" x14ac:dyDescent="0.2">
      <c r="N39" s="39"/>
    </row>
    <row r="40" spans="1:14" x14ac:dyDescent="0.2">
      <c r="N40" s="39"/>
    </row>
    <row r="41" spans="1:14" x14ac:dyDescent="0.2">
      <c r="N41" s="39"/>
    </row>
    <row r="42" spans="1:14" x14ac:dyDescent="0.2">
      <c r="N42" s="39"/>
    </row>
    <row r="43" spans="1:14" x14ac:dyDescent="0.2">
      <c r="N43" s="39"/>
    </row>
    <row r="44" spans="1:14" x14ac:dyDescent="0.2">
      <c r="N44" s="39"/>
    </row>
    <row r="45" spans="1:14" x14ac:dyDescent="0.2">
      <c r="N45" s="39"/>
    </row>
    <row r="46" spans="1:14" x14ac:dyDescent="0.2">
      <c r="N46" s="39"/>
    </row>
    <row r="47" spans="1:14" x14ac:dyDescent="0.2">
      <c r="N47" s="39"/>
    </row>
    <row r="48" spans="1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608"/>
    </row>
    <row r="97" spans="14:14" x14ac:dyDescent="0.2">
      <c r="N97" s="60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5" spans="14:14" x14ac:dyDescent="0.2">
      <c r="N105" s="39"/>
    </row>
    <row r="106" spans="14:14" x14ac:dyDescent="0.2">
      <c r="N106" s="39"/>
    </row>
    <row r="107" spans="14:14" x14ac:dyDescent="0.2">
      <c r="N107" s="39"/>
    </row>
    <row r="108" spans="14:14" x14ac:dyDescent="0.2">
      <c r="N108" s="39"/>
    </row>
    <row r="109" spans="14:14" x14ac:dyDescent="0.2">
      <c r="N109" s="39"/>
    </row>
    <row r="110" spans="14:14" x14ac:dyDescent="0.2">
      <c r="N110" s="39"/>
    </row>
    <row r="111" spans="14:14" x14ac:dyDescent="0.2">
      <c r="N111" s="39"/>
    </row>
    <row r="112" spans="14:14" x14ac:dyDescent="0.2">
      <c r="N112" s="39"/>
    </row>
    <row r="113" spans="14:14" x14ac:dyDescent="0.2">
      <c r="N113" s="39"/>
    </row>
    <row r="114" spans="14:14" x14ac:dyDescent="0.2">
      <c r="N114" s="39"/>
    </row>
    <row r="115" spans="14:14" ht="15" x14ac:dyDescent="0.25">
      <c r="N115" s="610"/>
    </row>
    <row r="116" spans="14:14" ht="15" x14ac:dyDescent="0.25">
      <c r="N116" s="412"/>
    </row>
    <row r="117" spans="14:14" x14ac:dyDescent="0.2">
      <c r="N117" s="39"/>
    </row>
    <row r="118" spans="14:14" x14ac:dyDescent="0.2">
      <c r="N118" s="39"/>
    </row>
  </sheetData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3"/>
  <sheetViews>
    <sheetView topLeftCell="A44" zoomScaleNormal="100" workbookViewId="0">
      <selection activeCell="S30" sqref="S30"/>
    </sheetView>
  </sheetViews>
  <sheetFormatPr defaultColWidth="8.75" defaultRowHeight="14.25" x14ac:dyDescent="0.2"/>
  <cols>
    <col min="1" max="1" width="11.375" style="326" customWidth="1"/>
    <col min="2" max="2" width="27.75" style="327" customWidth="1"/>
    <col min="3" max="3" width="12.375" style="323" hidden="1" customWidth="1"/>
    <col min="4" max="4" width="12.75" style="290" hidden="1" customWidth="1"/>
    <col min="5" max="5" width="12.5" style="323" hidden="1" customWidth="1"/>
    <col min="6" max="6" width="11.5" style="290" hidden="1" customWidth="1"/>
    <col min="7" max="7" width="12.875" style="290" hidden="1" customWidth="1"/>
    <col min="8" max="8" width="14.5" style="290" hidden="1" customWidth="1"/>
    <col min="9" max="9" width="13.75" style="290" hidden="1" customWidth="1"/>
    <col min="10" max="10" width="11.875" style="324" hidden="1" customWidth="1"/>
    <col min="11" max="11" width="13" style="325" hidden="1" customWidth="1"/>
    <col min="12" max="12" width="11.5" style="290" hidden="1" customWidth="1"/>
    <col min="13" max="13" width="14.875" style="290" hidden="1" customWidth="1"/>
    <col min="14" max="14" width="14.875" style="324" hidden="1" customWidth="1"/>
    <col min="15" max="15" width="15.25" style="290" customWidth="1"/>
    <col min="16" max="16" width="24.5" style="290" customWidth="1"/>
    <col min="17" max="17" width="9.875" style="290" customWidth="1"/>
    <col min="18" max="16384" width="8.75" style="290"/>
  </cols>
  <sheetData>
    <row r="1" spans="1:16" ht="39" x14ac:dyDescent="0.25">
      <c r="A1" s="310"/>
      <c r="B1" s="311" t="s">
        <v>267</v>
      </c>
      <c r="C1" s="32" t="s">
        <v>269</v>
      </c>
      <c r="D1" s="33" t="s">
        <v>212</v>
      </c>
      <c r="E1" s="312" t="s">
        <v>213</v>
      </c>
      <c r="F1" s="32" t="s">
        <v>1351</v>
      </c>
      <c r="G1" s="313" t="s">
        <v>1352</v>
      </c>
      <c r="H1" s="313" t="s">
        <v>1551</v>
      </c>
      <c r="I1" s="313" t="s">
        <v>1494</v>
      </c>
      <c r="J1" s="32" t="s">
        <v>1552</v>
      </c>
      <c r="K1" s="32" t="s">
        <v>1569</v>
      </c>
      <c r="L1" s="38"/>
      <c r="M1" s="313" t="s">
        <v>1568</v>
      </c>
      <c r="N1" s="659" t="s">
        <v>1634</v>
      </c>
      <c r="O1" s="660" t="s">
        <v>1686</v>
      </c>
      <c r="P1" s="555"/>
    </row>
    <row r="2" spans="1:16" x14ac:dyDescent="0.2">
      <c r="A2" s="310"/>
      <c r="B2" s="310"/>
      <c r="C2" s="37"/>
      <c r="D2" s="37"/>
      <c r="E2" s="37"/>
      <c r="F2" s="32"/>
      <c r="G2" s="32"/>
      <c r="H2" s="60"/>
      <c r="I2" s="314"/>
      <c r="J2" s="314"/>
      <c r="K2" s="315"/>
      <c r="L2" s="38"/>
      <c r="M2" s="38"/>
      <c r="N2" s="316"/>
      <c r="O2" s="551"/>
      <c r="P2" s="556"/>
    </row>
    <row r="3" spans="1:16" x14ac:dyDescent="0.2">
      <c r="A3" s="310" t="s">
        <v>270</v>
      </c>
      <c r="B3" s="310" t="s">
        <v>271</v>
      </c>
      <c r="C3" s="37">
        <v>33083.754500000003</v>
      </c>
      <c r="D3" s="37">
        <v>16541.88</v>
      </c>
      <c r="E3" s="37">
        <f>SUM(C3*1.03)</f>
        <v>34076.267135000002</v>
      </c>
      <c r="F3" s="32">
        <v>17094.96</v>
      </c>
      <c r="G3" s="37">
        <v>34076.267135000002</v>
      </c>
      <c r="H3" s="62">
        <v>37800</v>
      </c>
      <c r="I3" s="314">
        <v>18318.36</v>
      </c>
      <c r="J3" s="316">
        <v>37800</v>
      </c>
      <c r="K3" s="315">
        <f>+SUM(H3+3000)</f>
        <v>40800</v>
      </c>
      <c r="L3" s="62">
        <f>SUM(K3-H3)</f>
        <v>3000</v>
      </c>
      <c r="M3" s="38">
        <v>21184.6</v>
      </c>
      <c r="N3" s="316">
        <f>SUM(K3*1.03)</f>
        <v>42024</v>
      </c>
      <c r="O3" s="316">
        <f>SUM(N3*1.05)</f>
        <v>44125.200000000004</v>
      </c>
    </row>
    <row r="4" spans="1:16" x14ac:dyDescent="0.2">
      <c r="A4" s="310" t="s">
        <v>272</v>
      </c>
      <c r="B4" s="310" t="s">
        <v>273</v>
      </c>
      <c r="C4" s="37">
        <v>26426.833599999998</v>
      </c>
      <c r="D4" s="37">
        <v>13097.65</v>
      </c>
      <c r="E4" s="37">
        <f>SUM(C4*1.03)</f>
        <v>27219.638607999997</v>
      </c>
      <c r="F4" s="32">
        <v>12983.84</v>
      </c>
      <c r="G4" s="37">
        <v>27219.638607999997</v>
      </c>
      <c r="H4" s="62">
        <v>30597</v>
      </c>
      <c r="I4" s="314">
        <v>14834.89</v>
      </c>
      <c r="J4" s="316">
        <v>30597</v>
      </c>
      <c r="K4" s="315">
        <f>+SUM(H4+1500)</f>
        <v>32097</v>
      </c>
      <c r="L4" s="62">
        <f>SUM(K4-H4)</f>
        <v>1500</v>
      </c>
      <c r="M4" s="40">
        <v>15886.8</v>
      </c>
      <c r="N4" s="316">
        <f>SUM(K4*1.03)</f>
        <v>33059.910000000003</v>
      </c>
      <c r="O4" s="316">
        <f>SUM(N4*1.03)</f>
        <v>34051.707300000002</v>
      </c>
    </row>
    <row r="5" spans="1:16" x14ac:dyDescent="0.2">
      <c r="A5" s="310" t="s">
        <v>1646</v>
      </c>
      <c r="B5" s="310" t="s">
        <v>274</v>
      </c>
      <c r="C5" s="37">
        <v>25304.216</v>
      </c>
      <c r="D5" s="37">
        <v>12908.11</v>
      </c>
      <c r="E5" s="37">
        <f>SUM(C5*1.03)</f>
        <v>26063.342479999999</v>
      </c>
      <c r="F5" s="32">
        <v>13005.51</v>
      </c>
      <c r="G5" s="37">
        <v>26063.342479999999</v>
      </c>
      <c r="H5" s="62">
        <v>29382</v>
      </c>
      <c r="I5" s="314">
        <v>14130</v>
      </c>
      <c r="J5" s="316">
        <v>29382</v>
      </c>
      <c r="K5" s="315">
        <f>+SUM(H5+1500)</f>
        <v>30882</v>
      </c>
      <c r="L5" s="62">
        <f>SUM(K5-H5)</f>
        <v>1500</v>
      </c>
      <c r="M5" s="40">
        <v>15253.9</v>
      </c>
      <c r="N5" s="316">
        <f>SUM(K5*1.03)</f>
        <v>31808.46</v>
      </c>
      <c r="O5" s="316">
        <v>34051.71</v>
      </c>
    </row>
    <row r="6" spans="1:16" x14ac:dyDescent="0.2">
      <c r="A6" s="310" t="s">
        <v>1647</v>
      </c>
      <c r="B6" s="310" t="s">
        <v>275</v>
      </c>
      <c r="C6" s="37">
        <v>18035.6296</v>
      </c>
      <c r="D6" s="37">
        <v>8956.85</v>
      </c>
      <c r="E6" s="37">
        <f>SUM(C6*1.03)</f>
        <v>18576.698488000002</v>
      </c>
      <c r="F6" s="32">
        <v>9218.07</v>
      </c>
      <c r="G6" s="37">
        <v>18576.698488000002</v>
      </c>
      <c r="H6" s="314">
        <v>18272.8</v>
      </c>
      <c r="I6" s="314">
        <v>4468.05</v>
      </c>
      <c r="J6" s="314">
        <v>18272.8</v>
      </c>
      <c r="K6" s="317">
        <v>19272.8</v>
      </c>
      <c r="L6" s="62">
        <f>SUM(K6-H6)</f>
        <v>1000</v>
      </c>
      <c r="M6" s="40">
        <v>9378.36</v>
      </c>
      <c r="N6" s="316">
        <f>SUM(K6*1.03)</f>
        <v>19850.984</v>
      </c>
      <c r="O6" s="316">
        <f t="shared" ref="O6" si="0">SUM(N6*1.03)</f>
        <v>20446.51352</v>
      </c>
    </row>
    <row r="7" spans="1:16" x14ac:dyDescent="0.2">
      <c r="A7" s="310" t="s">
        <v>1648</v>
      </c>
      <c r="B7" s="310" t="s">
        <v>1643</v>
      </c>
      <c r="C7" s="37"/>
      <c r="D7" s="37"/>
      <c r="E7" s="37"/>
      <c r="F7" s="32"/>
      <c r="G7" s="37"/>
      <c r="H7" s="314"/>
      <c r="I7" s="314"/>
      <c r="J7" s="314"/>
      <c r="K7" s="317"/>
      <c r="L7" s="62"/>
      <c r="M7" s="40"/>
      <c r="N7" s="316"/>
      <c r="O7" s="316">
        <v>19342.52</v>
      </c>
    </row>
    <row r="8" spans="1:16" x14ac:dyDescent="0.2">
      <c r="A8" s="310" t="s">
        <v>276</v>
      </c>
      <c r="B8" s="310" t="s">
        <v>218</v>
      </c>
      <c r="C8" s="37">
        <v>1865</v>
      </c>
      <c r="D8" s="37">
        <v>0</v>
      </c>
      <c r="E8" s="37">
        <v>1865</v>
      </c>
      <c r="F8" s="32">
        <v>0</v>
      </c>
      <c r="G8" s="37">
        <v>1865</v>
      </c>
      <c r="H8" s="314">
        <v>1865</v>
      </c>
      <c r="I8" s="314">
        <v>0</v>
      </c>
      <c r="J8" s="314">
        <v>1865</v>
      </c>
      <c r="K8" s="317">
        <v>1865</v>
      </c>
      <c r="L8" s="38"/>
      <c r="M8" s="40">
        <v>0</v>
      </c>
      <c r="N8" s="316">
        <v>1865</v>
      </c>
      <c r="O8" s="553">
        <v>1865</v>
      </c>
    </row>
    <row r="9" spans="1:16" x14ac:dyDescent="0.2">
      <c r="A9" s="310" t="s">
        <v>277</v>
      </c>
      <c r="B9" s="310" t="s">
        <v>220</v>
      </c>
      <c r="C9" s="37">
        <v>1477.5</v>
      </c>
      <c r="D9" s="37">
        <v>720</v>
      </c>
      <c r="E9" s="37"/>
      <c r="F9" s="32">
        <v>780</v>
      </c>
      <c r="G9" s="40">
        <v>1597.5</v>
      </c>
      <c r="H9" s="314">
        <v>2592.5</v>
      </c>
      <c r="I9" s="314">
        <v>1382.5</v>
      </c>
      <c r="J9" s="314">
        <v>2712.5</v>
      </c>
      <c r="K9" s="314">
        <v>2712.5</v>
      </c>
      <c r="L9" s="38"/>
      <c r="M9" s="38">
        <v>1447.5</v>
      </c>
      <c r="N9" s="316">
        <v>2832.5</v>
      </c>
      <c r="O9" s="553">
        <v>2952.5</v>
      </c>
    </row>
    <row r="10" spans="1:16" x14ac:dyDescent="0.2">
      <c r="A10" s="310" t="s">
        <v>278</v>
      </c>
      <c r="B10" s="310" t="s">
        <v>226</v>
      </c>
      <c r="C10" s="37">
        <v>400</v>
      </c>
      <c r="D10" s="37">
        <v>191.3</v>
      </c>
      <c r="E10" s="37"/>
      <c r="F10" s="32">
        <v>181.44</v>
      </c>
      <c r="G10" s="37">
        <v>400</v>
      </c>
      <c r="H10" s="314">
        <v>400</v>
      </c>
      <c r="I10" s="314">
        <v>126.34</v>
      </c>
      <c r="J10" s="314">
        <v>400</v>
      </c>
      <c r="K10" s="317">
        <v>350</v>
      </c>
      <c r="L10" s="38"/>
      <c r="M10" s="40">
        <v>172.29</v>
      </c>
      <c r="N10" s="316"/>
      <c r="O10" s="553"/>
      <c r="P10" s="558"/>
    </row>
    <row r="11" spans="1:16" x14ac:dyDescent="0.2">
      <c r="A11" s="310" t="s">
        <v>279</v>
      </c>
      <c r="B11" s="310" t="s">
        <v>228</v>
      </c>
      <c r="C11" s="37">
        <f>SUM(C$3:C$9)*0.12</f>
        <v>12743.152044</v>
      </c>
      <c r="D11" s="37">
        <v>6362.84</v>
      </c>
      <c r="E11" s="37">
        <f>SUM(C11*1.03)</f>
        <v>13125.446605320001</v>
      </c>
      <c r="F11" s="32">
        <v>6255.33</v>
      </c>
      <c r="G11" s="37">
        <v>13127.81360532</v>
      </c>
      <c r="H11" s="314">
        <v>13376.53</v>
      </c>
      <c r="I11" s="314">
        <v>5871.5</v>
      </c>
      <c r="J11" s="36">
        <f>SUM(J$3:J$9)*0.099</f>
        <v>11942.300700000002</v>
      </c>
      <c r="K11" s="9">
        <f>SUM(K$3:K$9)*0.099</f>
        <v>12635.300700000002</v>
      </c>
      <c r="L11" s="9">
        <f>SUM(L$3:L$9)*0.099</f>
        <v>693</v>
      </c>
      <c r="M11" s="40">
        <v>6834.31</v>
      </c>
      <c r="N11" s="36">
        <f>SUM(N$3:N$9)*0.095</f>
        <v>12486.88113</v>
      </c>
      <c r="O11" s="9">
        <f>SUM(O$3:O$9)*0.085</f>
        <v>13330.987819700002</v>
      </c>
      <c r="P11" s="558"/>
    </row>
    <row r="12" spans="1:16" x14ac:dyDescent="0.2">
      <c r="A12" s="310" t="s">
        <v>280</v>
      </c>
      <c r="B12" s="310" t="s">
        <v>230</v>
      </c>
      <c r="C12" s="37">
        <f>SUM(C$3:C$9)*0.0145</f>
        <v>1539.7975386500002</v>
      </c>
      <c r="D12" s="37">
        <v>712.32</v>
      </c>
      <c r="E12" s="37">
        <f>SUM(C12*1.03)</f>
        <v>1585.9914648095003</v>
      </c>
      <c r="F12" s="32">
        <v>720.71</v>
      </c>
      <c r="G12" s="37">
        <v>1586.2774773095</v>
      </c>
      <c r="H12" s="314">
        <v>1747.38</v>
      </c>
      <c r="I12" s="314">
        <v>729.18</v>
      </c>
      <c r="J12" s="36">
        <f>SUM(J$3:J$9)*0.0145</f>
        <v>1749.1248500000002</v>
      </c>
      <c r="K12" s="9">
        <f>SUM(K$4:K$10)*0.0145</f>
        <v>1264.0998500000001</v>
      </c>
      <c r="L12" s="9">
        <f>SUM(L$4:L$10)*0.0145</f>
        <v>58</v>
      </c>
      <c r="M12" s="40">
        <v>906.46</v>
      </c>
      <c r="N12" s="36">
        <f>SUM(N$4:N$10)*0.0145</f>
        <v>1296.5443830000002</v>
      </c>
      <c r="O12" s="9">
        <f>SUM(O$3:O$9)*0.0145</f>
        <v>2274.1096868900004</v>
      </c>
      <c r="P12" s="558"/>
    </row>
    <row r="13" spans="1:16" x14ac:dyDescent="0.2">
      <c r="A13" s="310" t="s">
        <v>281</v>
      </c>
      <c r="B13" s="310" t="s">
        <v>232</v>
      </c>
      <c r="C13" s="37">
        <f>SUM(C$3:C$9)*0.062</f>
        <v>6583.9618894000005</v>
      </c>
      <c r="D13" s="37">
        <v>3045.68</v>
      </c>
      <c r="E13" s="37">
        <f>SUM(C13*1.03)</f>
        <v>6781.4807460820002</v>
      </c>
      <c r="F13" s="32">
        <v>3081.79</v>
      </c>
      <c r="G13" s="37">
        <v>6782.7036960819996</v>
      </c>
      <c r="H13" s="314">
        <v>7471.58</v>
      </c>
      <c r="I13" s="314">
        <v>3117.6</v>
      </c>
      <c r="J13" s="36">
        <f>SUM(J$3:J$9)*0.062</f>
        <v>7479.0165999999999</v>
      </c>
      <c r="K13" s="9">
        <f>SUM(K$4:K$10)*0.062</f>
        <v>5405.1166000000003</v>
      </c>
      <c r="L13" s="9">
        <f>SUM(L$4:L$10)*0.062</f>
        <v>248</v>
      </c>
      <c r="M13" s="40">
        <v>3876.19</v>
      </c>
      <c r="N13" s="36">
        <f>SUM(N$4:N$10)*0.062</f>
        <v>5543.8449479999999</v>
      </c>
      <c r="O13" s="9">
        <f>SUM(O$3:O$9)*0.062</f>
        <v>9723.7793508400009</v>
      </c>
      <c r="P13" s="558"/>
    </row>
    <row r="14" spans="1:16" x14ac:dyDescent="0.2">
      <c r="A14" s="310" t="s">
        <v>282</v>
      </c>
      <c r="B14" s="310" t="s">
        <v>234</v>
      </c>
      <c r="C14" s="9">
        <v>27348.48</v>
      </c>
      <c r="D14" s="37">
        <v>14813.76</v>
      </c>
      <c r="E14" s="37">
        <f>SUM(C14*1.02)</f>
        <v>27895.4496</v>
      </c>
      <c r="F14" s="32">
        <v>15109.77</v>
      </c>
      <c r="G14" s="37">
        <v>27895.439999999999</v>
      </c>
      <c r="H14" s="314">
        <v>31890</v>
      </c>
      <c r="I14" s="314">
        <v>17250.48</v>
      </c>
      <c r="J14" s="314">
        <v>33917.040000000001</v>
      </c>
      <c r="K14" s="314">
        <v>33917.040000000001</v>
      </c>
      <c r="L14" s="38"/>
      <c r="M14" s="40">
        <v>18371.73</v>
      </c>
      <c r="N14" s="316">
        <v>36324</v>
      </c>
      <c r="O14" s="552">
        <v>38286.720000000001</v>
      </c>
      <c r="P14" s="558"/>
    </row>
    <row r="15" spans="1:16" x14ac:dyDescent="0.2">
      <c r="A15" s="310" t="s">
        <v>283</v>
      </c>
      <c r="B15" s="310" t="s">
        <v>236</v>
      </c>
      <c r="C15" s="9"/>
      <c r="D15" s="37">
        <v>0</v>
      </c>
      <c r="E15" s="37"/>
      <c r="F15" s="32">
        <v>0</v>
      </c>
      <c r="G15" s="37"/>
      <c r="H15" s="314">
        <v>0</v>
      </c>
      <c r="I15" s="314">
        <v>0</v>
      </c>
      <c r="J15" s="316"/>
      <c r="K15" s="316"/>
      <c r="L15" s="38"/>
      <c r="M15" s="40">
        <v>0</v>
      </c>
      <c r="N15" s="316"/>
      <c r="O15" s="553"/>
      <c r="P15" s="558"/>
    </row>
    <row r="16" spans="1:16" x14ac:dyDescent="0.2">
      <c r="A16" s="310" t="s">
        <v>1572</v>
      </c>
      <c r="B16" s="310" t="s">
        <v>1571</v>
      </c>
      <c r="C16" s="9"/>
      <c r="D16" s="37"/>
      <c r="E16" s="37"/>
      <c r="F16" s="32"/>
      <c r="G16" s="37"/>
      <c r="H16" s="314"/>
      <c r="I16" s="314"/>
      <c r="J16" s="316"/>
      <c r="K16" s="316">
        <v>0</v>
      </c>
      <c r="L16" s="38"/>
      <c r="M16" s="40">
        <v>2049.2800000000002</v>
      </c>
      <c r="N16" s="316"/>
      <c r="O16" s="553"/>
      <c r="P16" s="558"/>
    </row>
    <row r="17" spans="1:18" x14ac:dyDescent="0.2">
      <c r="A17" s="310" t="s">
        <v>284</v>
      </c>
      <c r="B17" s="310" t="s">
        <v>285</v>
      </c>
      <c r="C17" s="37">
        <v>10000</v>
      </c>
      <c r="D17" s="37">
        <v>2595.69</v>
      </c>
      <c r="E17" s="37">
        <v>10000</v>
      </c>
      <c r="F17" s="32">
        <v>6212.17</v>
      </c>
      <c r="G17" s="37">
        <v>10000</v>
      </c>
      <c r="H17" s="314">
        <v>10000</v>
      </c>
      <c r="I17" s="314">
        <v>3734.28</v>
      </c>
      <c r="J17" s="316">
        <v>10000</v>
      </c>
      <c r="K17" s="316">
        <v>10000</v>
      </c>
      <c r="L17" s="38"/>
      <c r="M17" s="40">
        <v>5107</v>
      </c>
      <c r="N17" s="316">
        <v>10000</v>
      </c>
      <c r="O17" s="316">
        <v>10000</v>
      </c>
      <c r="P17" s="557"/>
    </row>
    <row r="18" spans="1:18" x14ac:dyDescent="0.2">
      <c r="A18" s="310" t="s">
        <v>286</v>
      </c>
      <c r="B18" s="310" t="s">
        <v>242</v>
      </c>
      <c r="C18" s="37">
        <v>3500</v>
      </c>
      <c r="D18" s="37">
        <v>499.56</v>
      </c>
      <c r="E18" s="37">
        <v>3500</v>
      </c>
      <c r="F18" s="32">
        <v>697.69</v>
      </c>
      <c r="G18" s="37">
        <v>3500</v>
      </c>
      <c r="H18" s="314">
        <v>3500</v>
      </c>
      <c r="I18" s="314">
        <v>589.67999999999995</v>
      </c>
      <c r="J18" s="316">
        <v>2500</v>
      </c>
      <c r="K18" s="316">
        <v>2500</v>
      </c>
      <c r="L18" s="38"/>
      <c r="M18" s="40">
        <v>1094.24</v>
      </c>
      <c r="N18" s="316">
        <v>2500</v>
      </c>
      <c r="O18" s="316">
        <v>3000</v>
      </c>
      <c r="P18" s="557"/>
    </row>
    <row r="19" spans="1:18" x14ac:dyDescent="0.2">
      <c r="A19" s="310" t="s">
        <v>1514</v>
      </c>
      <c r="B19" s="310" t="s">
        <v>1515</v>
      </c>
      <c r="C19" s="37"/>
      <c r="D19" s="37"/>
      <c r="E19" s="37"/>
      <c r="F19" s="32"/>
      <c r="G19" s="37"/>
      <c r="H19" s="314">
        <v>0</v>
      </c>
      <c r="I19" s="314">
        <v>0</v>
      </c>
      <c r="J19" s="316">
        <v>1000</v>
      </c>
      <c r="K19" s="316">
        <v>1000</v>
      </c>
      <c r="L19" s="38"/>
      <c r="M19" s="40">
        <v>0</v>
      </c>
      <c r="N19" s="316">
        <v>500</v>
      </c>
      <c r="O19" s="316">
        <v>500</v>
      </c>
      <c r="P19" s="557"/>
    </row>
    <row r="20" spans="1:18" x14ac:dyDescent="0.2">
      <c r="A20" s="310" t="s">
        <v>287</v>
      </c>
      <c r="B20" s="310" t="s">
        <v>288</v>
      </c>
      <c r="C20" s="37"/>
      <c r="D20" s="37">
        <v>0</v>
      </c>
      <c r="E20" s="37"/>
      <c r="F20" s="32">
        <v>0</v>
      </c>
      <c r="G20" s="37"/>
      <c r="H20" s="314"/>
      <c r="I20" s="314">
        <v>0</v>
      </c>
      <c r="J20" s="316"/>
      <c r="K20" s="316"/>
      <c r="L20" s="38"/>
      <c r="M20" s="40">
        <v>0</v>
      </c>
      <c r="N20" s="316"/>
      <c r="O20" s="316">
        <v>550</v>
      </c>
      <c r="P20" s="557"/>
    </row>
    <row r="21" spans="1:18" x14ac:dyDescent="0.2">
      <c r="A21" s="310" t="s">
        <v>1346</v>
      </c>
      <c r="B21" s="310" t="s">
        <v>302</v>
      </c>
      <c r="C21" s="37"/>
      <c r="D21" s="37"/>
      <c r="E21" s="37"/>
      <c r="F21" s="32"/>
      <c r="G21" s="37"/>
      <c r="H21" s="314">
        <v>550</v>
      </c>
      <c r="I21" s="314">
        <v>287.37</v>
      </c>
      <c r="J21" s="316">
        <v>550</v>
      </c>
      <c r="K21" s="316">
        <v>550</v>
      </c>
      <c r="L21" s="38"/>
      <c r="M21" s="40">
        <v>323.13</v>
      </c>
      <c r="N21" s="316">
        <v>550</v>
      </c>
      <c r="O21" s="316">
        <v>550</v>
      </c>
      <c r="P21" s="557"/>
    </row>
    <row r="22" spans="1:18" x14ac:dyDescent="0.2">
      <c r="A22" s="310" t="s">
        <v>289</v>
      </c>
      <c r="B22" s="310" t="s">
        <v>248</v>
      </c>
      <c r="C22" s="37">
        <v>412.5</v>
      </c>
      <c r="D22" s="37">
        <v>137.5</v>
      </c>
      <c r="E22" s="37">
        <v>412.5</v>
      </c>
      <c r="F22" s="32">
        <v>0</v>
      </c>
      <c r="G22" s="37">
        <v>412.5</v>
      </c>
      <c r="H22" s="314">
        <v>472.5</v>
      </c>
      <c r="I22" s="314">
        <v>175</v>
      </c>
      <c r="J22" s="316">
        <v>978.13</v>
      </c>
      <c r="K22" s="316">
        <v>978.13</v>
      </c>
      <c r="L22" s="38"/>
      <c r="M22" s="40">
        <v>734.13</v>
      </c>
      <c r="N22" s="316">
        <v>525</v>
      </c>
      <c r="O22" s="316">
        <v>700</v>
      </c>
      <c r="P22" s="557"/>
    </row>
    <row r="23" spans="1:18" x14ac:dyDescent="0.2">
      <c r="A23" s="310" t="s">
        <v>290</v>
      </c>
      <c r="B23" s="310" t="s">
        <v>250</v>
      </c>
      <c r="C23" s="37">
        <v>3500</v>
      </c>
      <c r="D23" s="37">
        <v>2456.88</v>
      </c>
      <c r="E23" s="37">
        <v>3500</v>
      </c>
      <c r="F23" s="32">
        <v>1678.96</v>
      </c>
      <c r="G23" s="37">
        <v>3500</v>
      </c>
      <c r="H23" s="314">
        <v>4000</v>
      </c>
      <c r="I23" s="314">
        <v>502.81</v>
      </c>
      <c r="J23" s="316">
        <v>4000</v>
      </c>
      <c r="K23" s="316">
        <v>4000</v>
      </c>
      <c r="L23" s="38"/>
      <c r="M23" s="40">
        <v>1487.04</v>
      </c>
      <c r="N23" s="316">
        <v>4000</v>
      </c>
      <c r="O23" s="316">
        <v>4000</v>
      </c>
      <c r="P23" s="557"/>
      <c r="R23" s="320"/>
    </row>
    <row r="24" spans="1:18" x14ac:dyDescent="0.2">
      <c r="A24" s="310" t="s">
        <v>291</v>
      </c>
      <c r="B24" s="310" t="s">
        <v>252</v>
      </c>
      <c r="C24" s="37">
        <v>175</v>
      </c>
      <c r="D24" s="37">
        <v>280</v>
      </c>
      <c r="E24" s="37">
        <v>175</v>
      </c>
      <c r="F24" s="32">
        <v>50</v>
      </c>
      <c r="G24" s="37">
        <v>175</v>
      </c>
      <c r="H24" s="314">
        <v>175</v>
      </c>
      <c r="I24" s="314">
        <v>125</v>
      </c>
      <c r="J24" s="316">
        <v>175</v>
      </c>
      <c r="K24" s="316">
        <v>175</v>
      </c>
      <c r="L24" s="38"/>
      <c r="M24" s="40">
        <v>125</v>
      </c>
      <c r="N24" s="316">
        <v>250</v>
      </c>
      <c r="O24" s="316">
        <v>275</v>
      </c>
      <c r="P24" s="557"/>
    </row>
    <row r="25" spans="1:18" x14ac:dyDescent="0.2">
      <c r="A25" s="310" t="s">
        <v>292</v>
      </c>
      <c r="B25" s="310" t="s">
        <v>254</v>
      </c>
      <c r="C25" s="37">
        <v>2800</v>
      </c>
      <c r="D25" s="37">
        <v>1763.44</v>
      </c>
      <c r="E25" s="37">
        <v>2800</v>
      </c>
      <c r="F25" s="32">
        <v>1515.55</v>
      </c>
      <c r="G25" s="37">
        <v>2800</v>
      </c>
      <c r="H25" s="314">
        <v>2800</v>
      </c>
      <c r="I25" s="314">
        <v>0</v>
      </c>
      <c r="J25" s="316"/>
      <c r="K25" s="316">
        <v>2800</v>
      </c>
      <c r="L25" s="38"/>
      <c r="M25" s="40">
        <v>0</v>
      </c>
      <c r="N25" s="316">
        <v>2800</v>
      </c>
      <c r="O25" s="316">
        <v>250</v>
      </c>
      <c r="P25" s="557"/>
    </row>
    <row r="26" spans="1:18" x14ac:dyDescent="0.2">
      <c r="A26" s="310" t="s">
        <v>293</v>
      </c>
      <c r="B26" s="310" t="s">
        <v>256</v>
      </c>
      <c r="C26" s="37"/>
      <c r="D26" s="37"/>
      <c r="E26" s="37"/>
      <c r="F26" s="32">
        <v>0</v>
      </c>
      <c r="G26" s="37"/>
      <c r="H26" s="314">
        <v>0</v>
      </c>
      <c r="I26" s="314">
        <v>0</v>
      </c>
      <c r="J26" s="316"/>
      <c r="K26" s="316"/>
      <c r="L26" s="38"/>
      <c r="M26" s="40">
        <v>0</v>
      </c>
      <c r="N26" s="316"/>
      <c r="O26" s="316"/>
      <c r="P26" s="557"/>
    </row>
    <row r="27" spans="1:18" x14ac:dyDescent="0.2">
      <c r="A27" s="310" t="s">
        <v>294</v>
      </c>
      <c r="B27" s="310" t="s">
        <v>295</v>
      </c>
      <c r="C27" s="37"/>
      <c r="D27" s="37"/>
      <c r="E27" s="37"/>
      <c r="F27" s="32">
        <v>0</v>
      </c>
      <c r="G27" s="37"/>
      <c r="H27" s="314">
        <v>0</v>
      </c>
      <c r="I27" s="314">
        <v>0</v>
      </c>
      <c r="J27" s="316"/>
      <c r="K27" s="316"/>
      <c r="L27" s="38"/>
      <c r="M27" s="40">
        <v>0</v>
      </c>
      <c r="N27" s="316"/>
      <c r="O27" s="316"/>
      <c r="P27" s="557"/>
    </row>
    <row r="28" spans="1:18" x14ac:dyDescent="0.2">
      <c r="A28" s="310" t="s">
        <v>296</v>
      </c>
      <c r="B28" s="310" t="s">
        <v>297</v>
      </c>
      <c r="C28" s="37"/>
      <c r="D28" s="37"/>
      <c r="E28" s="37"/>
      <c r="F28" s="32">
        <v>0</v>
      </c>
      <c r="G28" s="37"/>
      <c r="H28" s="314">
        <v>0</v>
      </c>
      <c r="I28" s="314">
        <v>0</v>
      </c>
      <c r="J28" s="316"/>
      <c r="K28" s="316"/>
      <c r="L28" s="38"/>
      <c r="M28" s="40">
        <v>0</v>
      </c>
      <c r="N28" s="316"/>
      <c r="O28" s="316"/>
      <c r="P28" s="557"/>
    </row>
    <row r="29" spans="1:18" x14ac:dyDescent="0.2">
      <c r="A29" s="310" t="s">
        <v>298</v>
      </c>
      <c r="B29" s="310" t="s">
        <v>299</v>
      </c>
      <c r="C29" s="37">
        <v>3650</v>
      </c>
      <c r="D29" s="37">
        <v>1929.47</v>
      </c>
      <c r="E29" s="37">
        <v>3636</v>
      </c>
      <c r="F29" s="32">
        <v>0</v>
      </c>
      <c r="G29" s="37">
        <v>3636</v>
      </c>
      <c r="H29" s="314">
        <v>3636</v>
      </c>
      <c r="I29" s="314">
        <v>1640</v>
      </c>
      <c r="J29" s="316">
        <v>3636</v>
      </c>
      <c r="K29" s="316">
        <v>3636</v>
      </c>
      <c r="L29" s="38"/>
      <c r="M29" s="40">
        <v>1818</v>
      </c>
      <c r="N29" s="316">
        <v>3636</v>
      </c>
      <c r="O29" s="316">
        <v>3636</v>
      </c>
      <c r="P29" s="557"/>
    </row>
    <row r="30" spans="1:18" x14ac:dyDescent="0.2">
      <c r="A30" s="310" t="s">
        <v>287</v>
      </c>
      <c r="B30" s="310" t="s">
        <v>300</v>
      </c>
      <c r="C30" s="37">
        <v>1000</v>
      </c>
      <c r="D30" s="37"/>
      <c r="E30" s="37">
        <v>500</v>
      </c>
      <c r="F30" s="32">
        <v>0</v>
      </c>
      <c r="G30" s="37">
        <v>500</v>
      </c>
      <c r="H30" s="314">
        <v>500</v>
      </c>
      <c r="I30" s="314">
        <v>0</v>
      </c>
      <c r="J30" s="316">
        <v>500</v>
      </c>
      <c r="K30" s="316">
        <v>500</v>
      </c>
      <c r="L30" s="38"/>
      <c r="M30" s="40">
        <v>0</v>
      </c>
      <c r="N30" s="316">
        <v>550</v>
      </c>
      <c r="O30" s="316">
        <v>550</v>
      </c>
      <c r="P30" s="557"/>
    </row>
    <row r="31" spans="1:18" x14ac:dyDescent="0.2">
      <c r="A31" s="310" t="s">
        <v>1538</v>
      </c>
      <c r="B31" s="310" t="s">
        <v>1411</v>
      </c>
      <c r="C31" s="37"/>
      <c r="D31" s="37"/>
      <c r="E31" s="37"/>
      <c r="F31" s="32"/>
      <c r="G31" s="37"/>
      <c r="H31" s="314">
        <v>650</v>
      </c>
      <c r="I31" s="314">
        <v>0</v>
      </c>
      <c r="J31" s="316">
        <v>890.5</v>
      </c>
      <c r="K31" s="316">
        <v>890.5</v>
      </c>
      <c r="L31" s="38"/>
      <c r="M31" s="40">
        <v>0</v>
      </c>
      <c r="N31" s="316">
        <v>967.8</v>
      </c>
      <c r="O31" s="316">
        <v>500</v>
      </c>
      <c r="P31" s="557"/>
    </row>
    <row r="32" spans="1:18" x14ac:dyDescent="0.2">
      <c r="A32" s="310" t="s">
        <v>1644</v>
      </c>
      <c r="B32" s="310" t="s">
        <v>1645</v>
      </c>
      <c r="C32" s="37"/>
      <c r="D32" s="37"/>
      <c r="E32" s="37"/>
      <c r="F32" s="32"/>
      <c r="G32" s="37"/>
      <c r="H32" s="314"/>
      <c r="I32" s="314"/>
      <c r="J32" s="316"/>
      <c r="K32" s="316"/>
      <c r="L32" s="38"/>
      <c r="M32" s="40"/>
      <c r="N32" s="316"/>
      <c r="O32" s="316">
        <v>2379.16</v>
      </c>
      <c r="P32" s="557"/>
    </row>
    <row r="33" spans="1:16" x14ac:dyDescent="0.2">
      <c r="A33" s="310"/>
      <c r="B33" s="310"/>
      <c r="C33" s="37"/>
      <c r="D33" s="37"/>
      <c r="E33" s="37"/>
      <c r="F33" s="32"/>
      <c r="G33" s="37"/>
      <c r="H33" s="314"/>
      <c r="I33" s="314"/>
      <c r="J33" s="316"/>
      <c r="K33" s="316"/>
      <c r="L33" s="38"/>
      <c r="M33" s="40">
        <v>0</v>
      </c>
      <c r="N33" s="316"/>
      <c r="O33" s="553"/>
      <c r="P33" s="558"/>
    </row>
    <row r="34" spans="1:16" x14ac:dyDescent="0.2">
      <c r="A34" s="310"/>
      <c r="B34" s="310" t="s">
        <v>169</v>
      </c>
      <c r="C34" s="37">
        <f>SUM(C3:C30)</f>
        <v>179845.82517205001</v>
      </c>
      <c r="D34" s="37">
        <f>SUM(D3:D30)</f>
        <v>87012.930000000008</v>
      </c>
      <c r="E34" s="37">
        <f>SUM(E3:E30)</f>
        <v>181712.81512721151</v>
      </c>
      <c r="F34" s="32">
        <f>SUM(F3:F30)</f>
        <v>88585.790000000008</v>
      </c>
      <c r="G34" s="32">
        <v>184264.18148971151</v>
      </c>
      <c r="H34" s="314">
        <f>SUM(H3:H31)</f>
        <v>201678.29</v>
      </c>
      <c r="I34" s="314">
        <f>SUM(I3:I31)</f>
        <v>87283.039999999979</v>
      </c>
      <c r="J34" s="314">
        <f>SUM(J3:J33)</f>
        <v>200346.41215000002</v>
      </c>
      <c r="K34" s="314">
        <f>SUM(K3:K33)</f>
        <v>208230.48715000003</v>
      </c>
      <c r="L34" s="314">
        <f>SUM(L3:L33)</f>
        <v>7999</v>
      </c>
      <c r="M34" s="314">
        <f>SUM(M3:M33)</f>
        <v>106049.96</v>
      </c>
      <c r="N34" s="554">
        <f>SUM(N3:N31)</f>
        <v>213370.92446099999</v>
      </c>
      <c r="O34" s="554">
        <f>SUM(O3:O31)</f>
        <v>244961.74767743002</v>
      </c>
      <c r="P34" s="559"/>
    </row>
    <row r="35" spans="1:16" x14ac:dyDescent="0.2">
      <c r="A35" s="318"/>
      <c r="B35" s="319"/>
      <c r="C35" s="37"/>
      <c r="D35" s="37"/>
      <c r="E35" s="37"/>
      <c r="F35" s="32"/>
      <c r="G35" s="32"/>
      <c r="H35" s="61"/>
      <c r="I35" s="314"/>
      <c r="J35" s="316"/>
      <c r="K35" s="315"/>
      <c r="L35" s="38"/>
      <c r="M35" s="37"/>
      <c r="N35" s="316"/>
      <c r="O35" s="553"/>
      <c r="P35" s="558"/>
    </row>
    <row r="36" spans="1:16" x14ac:dyDescent="0.2">
      <c r="A36" s="318"/>
      <c r="B36" s="319"/>
      <c r="C36" s="37"/>
      <c r="D36" s="37"/>
      <c r="E36" s="37"/>
      <c r="F36" s="32"/>
      <c r="G36" s="32"/>
      <c r="H36" s="61"/>
      <c r="I36" s="314"/>
      <c r="J36" s="316"/>
      <c r="K36" s="315"/>
      <c r="L36" s="38"/>
      <c r="M36" s="38"/>
      <c r="N36" s="316"/>
      <c r="O36" s="551"/>
      <c r="P36" s="556"/>
    </row>
    <row r="37" spans="1:16" x14ac:dyDescent="0.2">
      <c r="A37" s="321"/>
      <c r="B37" s="322"/>
      <c r="D37" s="28"/>
      <c r="E37" s="28"/>
    </row>
    <row r="38" spans="1:16" x14ac:dyDescent="0.2">
      <c r="A38" s="321"/>
      <c r="B38" s="322"/>
      <c r="D38" s="28"/>
      <c r="E38" s="28"/>
    </row>
    <row r="39" spans="1:16" x14ac:dyDescent="0.2">
      <c r="A39" s="321"/>
      <c r="B39" s="322"/>
      <c r="D39" s="28"/>
      <c r="E39" s="28"/>
    </row>
    <row r="40" spans="1:16" x14ac:dyDescent="0.2">
      <c r="A40" s="321"/>
      <c r="B40" s="322"/>
    </row>
    <row r="41" spans="1:16" x14ac:dyDescent="0.2">
      <c r="A41" s="321"/>
      <c r="B41" s="322"/>
    </row>
    <row r="42" spans="1:16" x14ac:dyDescent="0.2">
      <c r="A42" s="321"/>
      <c r="B42" s="322"/>
    </row>
    <row r="43" spans="1:16" x14ac:dyDescent="0.2">
      <c r="A43" s="321"/>
      <c r="B43" s="322"/>
    </row>
  </sheetData>
  <phoneticPr fontId="24" type="noConversion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"/>
  <sheetViews>
    <sheetView topLeftCell="A24" workbookViewId="0">
      <selection activeCell="J1" sqref="J1:J1048576"/>
    </sheetView>
  </sheetViews>
  <sheetFormatPr defaultColWidth="8.75" defaultRowHeight="14.25" x14ac:dyDescent="0.2"/>
  <cols>
    <col min="1" max="1" width="10" customWidth="1"/>
    <col min="2" max="2" width="31.5" customWidth="1"/>
    <col min="3" max="3" width="11.75" hidden="1" customWidth="1"/>
    <col min="4" max="4" width="13" hidden="1" customWidth="1"/>
    <col min="5" max="5" width="12.875" style="561" hidden="1" customWidth="1"/>
    <col min="6" max="6" width="12.875" hidden="1" customWidth="1"/>
    <col min="7" max="7" width="14" hidden="1" customWidth="1"/>
    <col min="8" max="8" width="14.375" style="561" hidden="1" customWidth="1"/>
    <col min="9" max="9" width="16.375" hidden="1" customWidth="1"/>
    <col min="10" max="10" width="13.625" hidden="1" customWidth="1"/>
    <col min="11" max="11" width="12.125" customWidth="1"/>
  </cols>
  <sheetData>
    <row r="1" spans="1:11" x14ac:dyDescent="0.2">
      <c r="A1" s="512"/>
      <c r="B1" s="298"/>
      <c r="H1" s="23"/>
    </row>
    <row r="2" spans="1:11" ht="59.25" customHeight="1" x14ac:dyDescent="0.25">
      <c r="A2" s="283"/>
      <c r="B2" s="427" t="s">
        <v>7</v>
      </c>
      <c r="C2" s="373" t="s">
        <v>1351</v>
      </c>
      <c r="D2" s="373" t="s">
        <v>1352</v>
      </c>
      <c r="E2" s="446" t="s">
        <v>1498</v>
      </c>
      <c r="F2" s="373" t="s">
        <v>1499</v>
      </c>
      <c r="G2" s="562" t="s">
        <v>1500</v>
      </c>
      <c r="H2" s="373" t="s">
        <v>1569</v>
      </c>
      <c r="I2" s="560" t="s">
        <v>1568</v>
      </c>
      <c r="J2" s="563" t="s">
        <v>1634</v>
      </c>
      <c r="K2" s="563" t="s">
        <v>1686</v>
      </c>
    </row>
    <row r="3" spans="1:11" x14ac:dyDescent="0.2">
      <c r="A3" s="283"/>
      <c r="B3" s="296"/>
      <c r="C3" s="23"/>
      <c r="D3" s="23"/>
      <c r="E3" s="23"/>
      <c r="F3" s="213"/>
      <c r="G3" s="233"/>
      <c r="H3" s="23"/>
      <c r="I3" s="270"/>
      <c r="J3" s="2"/>
      <c r="K3" s="2"/>
    </row>
    <row r="4" spans="1:11" x14ac:dyDescent="0.2">
      <c r="A4" s="283" t="s">
        <v>305</v>
      </c>
      <c r="B4" s="283" t="s">
        <v>306</v>
      </c>
      <c r="C4" s="23">
        <v>17094.96</v>
      </c>
      <c r="D4" s="23">
        <v>34076.26</v>
      </c>
      <c r="E4" s="26">
        <v>37800</v>
      </c>
      <c r="F4" s="213">
        <v>18318.36</v>
      </c>
      <c r="G4" s="374">
        <v>39690</v>
      </c>
      <c r="H4" s="23">
        <v>40800</v>
      </c>
      <c r="I4" s="270">
        <v>21184.6</v>
      </c>
      <c r="J4" s="23">
        <f>SUM(H$4*1.03)</f>
        <v>42024</v>
      </c>
      <c r="K4" s="23">
        <f>SUM(J$4*1.05)</f>
        <v>44125.200000000004</v>
      </c>
    </row>
    <row r="5" spans="1:11" x14ac:dyDescent="0.2">
      <c r="A5" s="283" t="s">
        <v>307</v>
      </c>
      <c r="B5" s="283" t="s">
        <v>308</v>
      </c>
      <c r="C5" s="23">
        <v>13202.7</v>
      </c>
      <c r="D5" s="288">
        <v>27219.63</v>
      </c>
      <c r="E5" s="26">
        <v>30597</v>
      </c>
      <c r="F5" s="213">
        <v>10930.47</v>
      </c>
      <c r="G5" s="374">
        <v>32127</v>
      </c>
      <c r="H5" s="374">
        <v>32097</v>
      </c>
      <c r="I5" s="564">
        <v>13648.37</v>
      </c>
      <c r="J5" s="23">
        <f>SUM(H$5*1.03)</f>
        <v>33059.910000000003</v>
      </c>
      <c r="K5" s="23">
        <f>SUM(J$5*1.03)</f>
        <v>34051.707300000002</v>
      </c>
    </row>
    <row r="6" spans="1:11" x14ac:dyDescent="0.2">
      <c r="A6" s="283" t="s">
        <v>309</v>
      </c>
      <c r="B6" s="283" t="s">
        <v>310</v>
      </c>
      <c r="C6" s="23">
        <v>0</v>
      </c>
      <c r="D6" s="23"/>
      <c r="E6" s="23">
        <v>5200</v>
      </c>
      <c r="F6" s="213">
        <v>1210</v>
      </c>
      <c r="G6" s="248">
        <v>5460</v>
      </c>
      <c r="H6" s="248">
        <v>5460</v>
      </c>
      <c r="I6" s="564">
        <v>7662.47</v>
      </c>
      <c r="J6" s="23">
        <v>13800</v>
      </c>
      <c r="K6" s="23">
        <v>20631.52</v>
      </c>
    </row>
    <row r="7" spans="1:11" x14ac:dyDescent="0.2">
      <c r="A7" s="283" t="s">
        <v>311</v>
      </c>
      <c r="B7" s="283" t="s">
        <v>312</v>
      </c>
      <c r="C7" s="23">
        <v>0</v>
      </c>
      <c r="D7" s="23">
        <v>1000</v>
      </c>
      <c r="E7" s="288">
        <v>0</v>
      </c>
      <c r="F7" s="213">
        <v>0</v>
      </c>
      <c r="G7" s="369"/>
      <c r="H7" s="369"/>
      <c r="I7" s="306">
        <v>0</v>
      </c>
      <c r="J7" s="23"/>
      <c r="K7" s="2"/>
    </row>
    <row r="8" spans="1:11" x14ac:dyDescent="0.2">
      <c r="A8" s="283" t="s">
        <v>313</v>
      </c>
      <c r="B8" s="283" t="s">
        <v>220</v>
      </c>
      <c r="C8" s="23">
        <v>0</v>
      </c>
      <c r="D8" s="23"/>
      <c r="E8" s="23">
        <v>405</v>
      </c>
      <c r="F8" s="213">
        <v>212.5</v>
      </c>
      <c r="G8" s="248">
        <v>930</v>
      </c>
      <c r="H8" s="248">
        <v>930</v>
      </c>
      <c r="I8" s="306">
        <v>462.5</v>
      </c>
      <c r="J8" s="23">
        <v>1120</v>
      </c>
      <c r="K8" s="23">
        <v>1240</v>
      </c>
    </row>
    <row r="9" spans="1:11" x14ac:dyDescent="0.2">
      <c r="A9" s="283" t="s">
        <v>314</v>
      </c>
      <c r="B9" s="283" t="s">
        <v>315</v>
      </c>
      <c r="C9" s="23">
        <v>104.39</v>
      </c>
      <c r="D9" s="288">
        <v>300</v>
      </c>
      <c r="E9" s="23">
        <v>300</v>
      </c>
      <c r="F9" s="213">
        <v>73.739999999999995</v>
      </c>
      <c r="G9" s="248">
        <v>300</v>
      </c>
      <c r="H9" s="248">
        <v>300</v>
      </c>
      <c r="I9" s="270">
        <v>115.56</v>
      </c>
      <c r="J9" s="23">
        <v>300</v>
      </c>
      <c r="K9" s="23">
        <v>300</v>
      </c>
    </row>
    <row r="10" spans="1:11" x14ac:dyDescent="0.2">
      <c r="A10" s="283" t="s">
        <v>316</v>
      </c>
      <c r="B10" s="283" t="s">
        <v>228</v>
      </c>
      <c r="C10" s="23">
        <v>3570.23</v>
      </c>
      <c r="D10" s="292">
        <v>7475.51</v>
      </c>
      <c r="E10" s="26">
        <f>SUM(E$4:E$8)*0.111</f>
        <v>8214.2219999999998</v>
      </c>
      <c r="F10" s="213">
        <v>2599.48</v>
      </c>
      <c r="G10" s="26">
        <f>SUM(G$4:G$8)*0.099</f>
        <v>7742.4930000000004</v>
      </c>
      <c r="H10" s="288">
        <f>SUM(H$4:H$8)*0.099</f>
        <v>7849.4130000000005</v>
      </c>
      <c r="I10" s="306">
        <v>3989.85</v>
      </c>
      <c r="J10" s="289">
        <f>SUM(J$4:J$8)*0.095</f>
        <v>8550.3714500000006</v>
      </c>
      <c r="K10" s="289">
        <f>SUM(K$4:K$8)*0.085</f>
        <v>8504.1163205000012</v>
      </c>
    </row>
    <row r="11" spans="1:11" x14ac:dyDescent="0.2">
      <c r="A11" s="283" t="s">
        <v>317</v>
      </c>
      <c r="B11" s="283" t="s">
        <v>230</v>
      </c>
      <c r="C11" s="23">
        <v>434.6</v>
      </c>
      <c r="D11" s="292">
        <v>903.29</v>
      </c>
      <c r="E11" s="292">
        <f>SUM(E$4:E$8)*0.0145</f>
        <v>1073.029</v>
      </c>
      <c r="F11" s="213">
        <v>453.86</v>
      </c>
      <c r="G11" s="289">
        <f>SUM(G$4:G$8)*0.0145</f>
        <v>1134.0015000000001</v>
      </c>
      <c r="H11" s="289">
        <f>SUM(H$4:H$8)*0.0145</f>
        <v>1149.6615000000002</v>
      </c>
      <c r="I11" s="306">
        <v>641.30999999999995</v>
      </c>
      <c r="J11" s="289">
        <f>SUM(J$4:J$8)*0.0145</f>
        <v>1305.0566950000002</v>
      </c>
      <c r="K11" s="289">
        <f>SUM(K$4:K$8)*0.0145</f>
        <v>1450.7021958500002</v>
      </c>
    </row>
    <row r="12" spans="1:11" x14ac:dyDescent="0.2">
      <c r="A12" s="283" t="s">
        <v>318</v>
      </c>
      <c r="B12" s="283" t="s">
        <v>232</v>
      </c>
      <c r="C12" s="23">
        <v>1858.47</v>
      </c>
      <c r="D12" s="292">
        <v>3862.35</v>
      </c>
      <c r="E12" s="292">
        <f>SUM(E$4:E$8)*0.062</f>
        <v>4588.1239999999998</v>
      </c>
      <c r="F12" s="213">
        <v>1940.75</v>
      </c>
      <c r="G12" s="289">
        <f>SUM(G$4:G$8)*0.062</f>
        <v>4848.8339999999998</v>
      </c>
      <c r="H12" s="289">
        <f>SUM(H$4:H$8)*0.062</f>
        <v>4915.7939999999999</v>
      </c>
      <c r="I12" s="306">
        <v>2742.04</v>
      </c>
      <c r="J12" s="289">
        <f>SUM(J$4:J$8)*0.062</f>
        <v>5580.2424200000005</v>
      </c>
      <c r="K12" s="289">
        <f>SUM(K$4:K$8)*0.062</f>
        <v>6203.0024926000006</v>
      </c>
    </row>
    <row r="13" spans="1:11" x14ac:dyDescent="0.2">
      <c r="A13" s="283" t="s">
        <v>319</v>
      </c>
      <c r="B13" s="283" t="s">
        <v>234</v>
      </c>
      <c r="C13" s="23">
        <v>10073.18</v>
      </c>
      <c r="D13" s="288">
        <v>18596.96</v>
      </c>
      <c r="E13" s="23">
        <v>21260</v>
      </c>
      <c r="F13" s="213">
        <v>11058</v>
      </c>
      <c r="G13" s="248">
        <v>22611.360000000001</v>
      </c>
      <c r="H13" s="248">
        <v>22611.360000000001</v>
      </c>
      <c r="I13" s="306">
        <v>11776.75</v>
      </c>
      <c r="J13" s="23">
        <v>24216</v>
      </c>
      <c r="K13" s="23">
        <v>25524.48</v>
      </c>
    </row>
    <row r="14" spans="1:11" x14ac:dyDescent="0.2">
      <c r="A14" s="283" t="s">
        <v>320</v>
      </c>
      <c r="B14" s="283" t="s">
        <v>236</v>
      </c>
      <c r="C14" s="23">
        <v>0</v>
      </c>
      <c r="D14" s="288"/>
      <c r="E14" s="23">
        <v>0</v>
      </c>
      <c r="F14" s="213">
        <v>0</v>
      </c>
      <c r="G14" s="248"/>
      <c r="H14" s="248"/>
      <c r="I14" s="306">
        <v>0</v>
      </c>
      <c r="J14" s="23"/>
      <c r="K14" s="2"/>
    </row>
    <row r="15" spans="1:11" x14ac:dyDescent="0.2">
      <c r="A15" s="283" t="s">
        <v>1573</v>
      </c>
      <c r="B15" s="283" t="s">
        <v>1571</v>
      </c>
      <c r="C15" s="23"/>
      <c r="D15" s="288"/>
      <c r="E15" s="23"/>
      <c r="F15" s="213"/>
      <c r="G15" s="248"/>
      <c r="H15" s="248">
        <v>0</v>
      </c>
      <c r="I15" s="306">
        <v>748.03</v>
      </c>
      <c r="J15" s="23"/>
      <c r="K15" s="2"/>
    </row>
    <row r="16" spans="1:11" x14ac:dyDescent="0.2">
      <c r="A16" s="283" t="s">
        <v>321</v>
      </c>
      <c r="B16" s="283" t="s">
        <v>285</v>
      </c>
      <c r="C16" s="23">
        <v>854.85</v>
      </c>
      <c r="D16" s="288">
        <v>1650</v>
      </c>
      <c r="E16" s="23">
        <v>1650</v>
      </c>
      <c r="F16" s="213">
        <v>417.15</v>
      </c>
      <c r="G16" s="23">
        <v>1650</v>
      </c>
      <c r="H16" s="23">
        <v>1650</v>
      </c>
      <c r="I16" s="306">
        <v>1622.62</v>
      </c>
      <c r="J16" s="23">
        <v>2500</v>
      </c>
      <c r="K16" s="23">
        <v>2500</v>
      </c>
    </row>
    <row r="17" spans="1:11" x14ac:dyDescent="0.2">
      <c r="A17" s="283" t="s">
        <v>322</v>
      </c>
      <c r="B17" s="283" t="s">
        <v>242</v>
      </c>
      <c r="C17" s="23">
        <v>410.13</v>
      </c>
      <c r="D17" s="288">
        <v>700</v>
      </c>
      <c r="E17" s="23">
        <v>1100</v>
      </c>
      <c r="F17" s="213">
        <v>0</v>
      </c>
      <c r="G17" s="23">
        <v>1100</v>
      </c>
      <c r="H17" s="23">
        <v>1100</v>
      </c>
      <c r="I17" s="306">
        <v>0</v>
      </c>
      <c r="J17" s="23">
        <v>1100</v>
      </c>
      <c r="K17" s="23">
        <v>1200</v>
      </c>
    </row>
    <row r="18" spans="1:11" x14ac:dyDescent="0.2">
      <c r="A18" s="283" t="s">
        <v>323</v>
      </c>
      <c r="B18" s="283" t="s">
        <v>244</v>
      </c>
      <c r="C18" s="23">
        <v>0</v>
      </c>
      <c r="D18" s="288">
        <v>400</v>
      </c>
      <c r="E18" s="23">
        <v>400</v>
      </c>
      <c r="F18" s="213">
        <v>0</v>
      </c>
      <c r="G18" s="23">
        <v>400</v>
      </c>
      <c r="H18" s="23">
        <v>400</v>
      </c>
      <c r="I18" s="306">
        <v>25.95</v>
      </c>
      <c r="J18" s="23">
        <v>400</v>
      </c>
      <c r="K18" s="23">
        <v>400</v>
      </c>
    </row>
    <row r="19" spans="1:11" x14ac:dyDescent="0.2">
      <c r="A19" s="283" t="s">
        <v>324</v>
      </c>
      <c r="B19" s="283" t="s">
        <v>325</v>
      </c>
      <c r="C19" s="23">
        <v>0</v>
      </c>
      <c r="D19" s="288"/>
      <c r="E19" s="23">
        <v>0</v>
      </c>
      <c r="F19" s="213">
        <v>0</v>
      </c>
      <c r="G19" s="23">
        <v>0</v>
      </c>
      <c r="H19" s="23">
        <v>0</v>
      </c>
      <c r="I19" s="306">
        <v>0</v>
      </c>
      <c r="J19" s="23">
        <v>2400</v>
      </c>
      <c r="K19" s="23">
        <v>2400</v>
      </c>
    </row>
    <row r="20" spans="1:11" x14ac:dyDescent="0.2">
      <c r="A20" s="283" t="s">
        <v>326</v>
      </c>
      <c r="B20" s="283" t="s">
        <v>248</v>
      </c>
      <c r="C20" s="23">
        <v>0</v>
      </c>
      <c r="D20" s="288">
        <v>300</v>
      </c>
      <c r="E20" s="23">
        <v>300</v>
      </c>
      <c r="F20" s="213">
        <v>0</v>
      </c>
      <c r="G20" s="23">
        <v>300</v>
      </c>
      <c r="H20" s="23">
        <v>300</v>
      </c>
      <c r="I20" s="306">
        <v>177.5</v>
      </c>
      <c r="J20" s="23">
        <v>300</v>
      </c>
      <c r="K20" s="23">
        <v>300</v>
      </c>
    </row>
    <row r="21" spans="1:11" x14ac:dyDescent="0.2">
      <c r="A21" s="283" t="s">
        <v>327</v>
      </c>
      <c r="B21" s="283" t="s">
        <v>250</v>
      </c>
      <c r="C21" s="23">
        <v>314.10000000000002</v>
      </c>
      <c r="D21" s="288">
        <v>2390</v>
      </c>
      <c r="E21" s="23">
        <v>2390</v>
      </c>
      <c r="F21" s="213">
        <v>0</v>
      </c>
      <c r="G21" s="23">
        <v>2390</v>
      </c>
      <c r="H21" s="23">
        <v>2390</v>
      </c>
      <c r="I21" s="306">
        <v>3991.12</v>
      </c>
      <c r="J21" s="23">
        <v>3200</v>
      </c>
      <c r="K21" s="23">
        <v>3200</v>
      </c>
    </row>
    <row r="22" spans="1:11" x14ac:dyDescent="0.2">
      <c r="A22" s="283" t="s">
        <v>328</v>
      </c>
      <c r="B22" s="283" t="s">
        <v>329</v>
      </c>
      <c r="C22" s="23">
        <v>136</v>
      </c>
      <c r="D22" s="288">
        <v>300</v>
      </c>
      <c r="E22" s="23">
        <v>300</v>
      </c>
      <c r="F22" s="213">
        <v>60</v>
      </c>
      <c r="G22" s="23">
        <v>300</v>
      </c>
      <c r="H22" s="23">
        <v>300</v>
      </c>
      <c r="I22" s="306">
        <v>0</v>
      </c>
      <c r="J22" s="23">
        <v>300</v>
      </c>
      <c r="K22" s="23">
        <v>300</v>
      </c>
    </row>
    <row r="23" spans="1:11" x14ac:dyDescent="0.2">
      <c r="A23" s="283" t="s">
        <v>330</v>
      </c>
      <c r="B23" s="283" t="s">
        <v>254</v>
      </c>
      <c r="C23" s="23">
        <v>1059.06</v>
      </c>
      <c r="D23" s="288">
        <v>2750</v>
      </c>
      <c r="E23" s="23">
        <v>2750</v>
      </c>
      <c r="F23" s="213">
        <v>0</v>
      </c>
      <c r="G23" s="23">
        <v>2750</v>
      </c>
      <c r="H23" s="23">
        <v>2750</v>
      </c>
      <c r="I23" s="306">
        <v>0</v>
      </c>
      <c r="J23" s="23">
        <v>2750</v>
      </c>
      <c r="K23" s="23">
        <v>250</v>
      </c>
    </row>
    <row r="24" spans="1:11" x14ac:dyDescent="0.2">
      <c r="A24" s="283" t="s">
        <v>331</v>
      </c>
      <c r="B24" s="283" t="s">
        <v>332</v>
      </c>
      <c r="C24" s="23">
        <v>16.399999999999999</v>
      </c>
      <c r="D24" s="288">
        <v>500</v>
      </c>
      <c r="E24" s="23">
        <v>500</v>
      </c>
      <c r="F24" s="213">
        <v>0</v>
      </c>
      <c r="G24" s="23">
        <v>500</v>
      </c>
      <c r="H24" s="23">
        <v>500</v>
      </c>
      <c r="I24" s="306">
        <v>73.680000000000007</v>
      </c>
      <c r="J24" s="23">
        <v>500</v>
      </c>
      <c r="K24" s="23">
        <v>500</v>
      </c>
    </row>
    <row r="25" spans="1:11" x14ac:dyDescent="0.2">
      <c r="A25" s="283" t="s">
        <v>333</v>
      </c>
      <c r="B25" s="283" t="s">
        <v>334</v>
      </c>
      <c r="C25" s="23">
        <v>0</v>
      </c>
      <c r="D25" s="288">
        <v>500</v>
      </c>
      <c r="E25" s="23">
        <v>500</v>
      </c>
      <c r="F25" s="213">
        <v>0</v>
      </c>
      <c r="G25" s="23">
        <v>500</v>
      </c>
      <c r="H25" s="23">
        <v>500</v>
      </c>
      <c r="I25" s="306"/>
      <c r="J25" s="23">
        <v>500</v>
      </c>
      <c r="K25" s="23">
        <v>500</v>
      </c>
    </row>
    <row r="26" spans="1:11" x14ac:dyDescent="0.2">
      <c r="A26" s="283" t="s">
        <v>335</v>
      </c>
      <c r="B26" s="283" t="s">
        <v>336</v>
      </c>
      <c r="C26" s="23">
        <v>2710</v>
      </c>
      <c r="D26" s="288">
        <v>2710</v>
      </c>
      <c r="E26" s="23">
        <v>2710</v>
      </c>
      <c r="F26" s="213">
        <v>2710</v>
      </c>
      <c r="G26" s="23">
        <v>2710</v>
      </c>
      <c r="H26" s="23">
        <v>2710</v>
      </c>
      <c r="I26" s="306">
        <v>2710</v>
      </c>
      <c r="J26" s="23">
        <v>2710</v>
      </c>
      <c r="K26" s="23">
        <v>2710</v>
      </c>
    </row>
    <row r="27" spans="1:11" x14ac:dyDescent="0.2">
      <c r="A27" s="283" t="s">
        <v>1397</v>
      </c>
      <c r="B27" s="283" t="s">
        <v>1398</v>
      </c>
      <c r="C27" s="23"/>
      <c r="D27" s="288"/>
      <c r="E27" s="23">
        <v>0</v>
      </c>
      <c r="F27" s="213">
        <v>0</v>
      </c>
      <c r="G27" s="23">
        <v>0</v>
      </c>
      <c r="H27" s="23">
        <v>0</v>
      </c>
      <c r="I27" s="306"/>
      <c r="J27" s="23">
        <v>500</v>
      </c>
      <c r="K27" s="23">
        <v>500</v>
      </c>
    </row>
    <row r="28" spans="1:11" x14ac:dyDescent="0.2">
      <c r="A28" s="283" t="s">
        <v>1574</v>
      </c>
      <c r="B28" s="283" t="s">
        <v>1575</v>
      </c>
      <c r="C28" s="23"/>
      <c r="D28" s="288"/>
      <c r="E28" s="23"/>
      <c r="F28" s="213"/>
      <c r="G28" s="23"/>
      <c r="H28" s="23"/>
      <c r="I28" s="306">
        <v>251.13</v>
      </c>
      <c r="J28" s="23">
        <v>500</v>
      </c>
      <c r="K28" s="23">
        <v>500</v>
      </c>
    </row>
    <row r="29" spans="1:11" x14ac:dyDescent="0.2">
      <c r="A29" s="283" t="s">
        <v>337</v>
      </c>
      <c r="B29" s="283" t="s">
        <v>338</v>
      </c>
      <c r="C29" s="23">
        <v>0</v>
      </c>
      <c r="D29" s="288"/>
      <c r="E29" s="23">
        <v>0</v>
      </c>
      <c r="F29" s="213">
        <v>0</v>
      </c>
      <c r="G29" s="23">
        <v>0</v>
      </c>
      <c r="H29" s="23">
        <v>0</v>
      </c>
      <c r="I29" s="306"/>
      <c r="J29" s="23">
        <v>0</v>
      </c>
      <c r="K29" s="23">
        <v>0</v>
      </c>
    </row>
    <row r="30" spans="1:11" x14ac:dyDescent="0.2">
      <c r="A30" s="283" t="s">
        <v>339</v>
      </c>
      <c r="B30" s="283" t="s">
        <v>340</v>
      </c>
      <c r="C30" s="23">
        <v>0</v>
      </c>
      <c r="D30" s="288">
        <v>473.92</v>
      </c>
      <c r="E30" s="23">
        <v>473.92</v>
      </c>
      <c r="F30" s="213">
        <v>0</v>
      </c>
      <c r="G30" s="23">
        <v>473.92</v>
      </c>
      <c r="H30" s="23">
        <v>473.92</v>
      </c>
      <c r="I30" s="288"/>
      <c r="J30" s="23">
        <v>500</v>
      </c>
      <c r="K30" s="23">
        <v>500</v>
      </c>
    </row>
    <row r="31" spans="1:11" x14ac:dyDescent="0.2">
      <c r="A31" s="283" t="s">
        <v>341</v>
      </c>
      <c r="B31" s="283" t="s">
        <v>342</v>
      </c>
      <c r="C31" s="23">
        <v>0</v>
      </c>
      <c r="D31" s="23"/>
      <c r="E31" s="23"/>
      <c r="F31" s="213"/>
      <c r="G31" s="23"/>
      <c r="H31" s="23"/>
      <c r="I31" s="288"/>
      <c r="J31" s="23"/>
      <c r="K31" s="2"/>
    </row>
    <row r="32" spans="1:11" x14ac:dyDescent="0.2">
      <c r="A32" s="283" t="s">
        <v>343</v>
      </c>
      <c r="B32" s="283" t="s">
        <v>344</v>
      </c>
      <c r="C32" s="23"/>
      <c r="D32" s="23"/>
      <c r="E32" s="23"/>
      <c r="F32" s="213"/>
      <c r="G32" s="23"/>
      <c r="H32" s="23"/>
      <c r="I32" s="288"/>
      <c r="J32" s="23"/>
      <c r="K32" s="2"/>
    </row>
    <row r="33" spans="1:11" x14ac:dyDescent="0.2">
      <c r="A33" s="283"/>
      <c r="B33" s="283" t="s">
        <v>1620</v>
      </c>
      <c r="C33" s="23"/>
      <c r="D33" s="23"/>
      <c r="E33" s="23"/>
      <c r="F33" s="213"/>
      <c r="G33" s="23"/>
      <c r="H33" s="23"/>
      <c r="I33" s="288"/>
      <c r="J33" s="23">
        <v>1000</v>
      </c>
      <c r="K33" s="2">
        <v>0</v>
      </c>
    </row>
    <row r="34" spans="1:11" x14ac:dyDescent="0.2">
      <c r="A34" s="283"/>
      <c r="B34" s="283" t="s">
        <v>346</v>
      </c>
      <c r="C34" s="23"/>
      <c r="D34" s="23"/>
      <c r="E34" s="23"/>
      <c r="F34" s="213"/>
      <c r="G34" s="23"/>
      <c r="H34" s="23"/>
      <c r="I34" s="288"/>
      <c r="J34" s="23"/>
      <c r="K34" s="2"/>
    </row>
    <row r="35" spans="1:11" x14ac:dyDescent="0.2">
      <c r="A35" s="283"/>
      <c r="B35" s="283" t="s">
        <v>1619</v>
      </c>
      <c r="C35" s="23"/>
      <c r="D35" s="23"/>
      <c r="E35" s="23"/>
      <c r="F35" s="213"/>
      <c r="G35" s="23"/>
      <c r="H35" s="23"/>
      <c r="I35" s="213"/>
      <c r="J35" s="23">
        <v>500</v>
      </c>
      <c r="K35" s="2">
        <v>0</v>
      </c>
    </row>
    <row r="36" spans="1:11" x14ac:dyDescent="0.2">
      <c r="A36" s="283" t="s">
        <v>343</v>
      </c>
      <c r="B36" s="283" t="s">
        <v>347</v>
      </c>
      <c r="C36" s="23">
        <v>0</v>
      </c>
      <c r="D36" s="23"/>
      <c r="E36" s="23">
        <v>0</v>
      </c>
      <c r="F36" s="213"/>
      <c r="G36" s="23">
        <v>0</v>
      </c>
      <c r="H36" s="23">
        <v>0</v>
      </c>
      <c r="I36" s="213"/>
      <c r="J36" s="23">
        <v>800</v>
      </c>
      <c r="K36" s="2">
        <v>0</v>
      </c>
    </row>
    <row r="37" spans="1:11" x14ac:dyDescent="0.2">
      <c r="A37" s="283"/>
      <c r="B37" s="283"/>
      <c r="C37" s="23"/>
      <c r="D37" s="23"/>
      <c r="E37" s="213"/>
      <c r="F37" s="213"/>
      <c r="G37" s="233"/>
      <c r="H37" s="213"/>
      <c r="I37" s="213"/>
      <c r="J37" s="213"/>
      <c r="K37" s="2"/>
    </row>
    <row r="38" spans="1:11" x14ac:dyDescent="0.2">
      <c r="A38" s="283"/>
      <c r="B38" s="283" t="s">
        <v>169</v>
      </c>
      <c r="C38" s="23">
        <f>SUM(C4:C36)</f>
        <v>51839.069999999992</v>
      </c>
      <c r="D38" s="23">
        <f>SUM(D4:D37)</f>
        <v>106107.92</v>
      </c>
      <c r="E38" s="213">
        <f>SUM(E4:E36)</f>
        <v>122511.29499999998</v>
      </c>
      <c r="F38" s="213">
        <f>SUM(F4:F37)</f>
        <v>49984.310000000005</v>
      </c>
      <c r="G38" s="233">
        <f>SUM(G4:G36)</f>
        <v>127917.6085</v>
      </c>
      <c r="H38" s="213">
        <f>SUM(H4:H36)</f>
        <v>129187.1485</v>
      </c>
      <c r="I38" s="213">
        <f>SUM(I4:I36)</f>
        <v>71823.48</v>
      </c>
      <c r="J38" s="213">
        <f>SUM(J4:J36)</f>
        <v>150415.58056500001</v>
      </c>
      <c r="K38" s="213">
        <f>SUM(K4:K36)</f>
        <v>157790.72830895003</v>
      </c>
    </row>
  </sheetData>
  <phoneticPr fontId="24" type="noConversion"/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73"/>
  <sheetViews>
    <sheetView zoomScale="85" zoomScaleNormal="85" workbookViewId="0">
      <selection activeCell="T5" sqref="T5:T42"/>
    </sheetView>
  </sheetViews>
  <sheetFormatPr defaultColWidth="9" defaultRowHeight="14.25" x14ac:dyDescent="0.2"/>
  <cols>
    <col min="1" max="1" width="11.75" style="666" customWidth="1"/>
    <col min="2" max="2" width="24.375" style="663" customWidth="1"/>
    <col min="3" max="3" width="13.75" style="663" hidden="1" customWidth="1"/>
    <col min="4" max="4" width="12.75" style="663" hidden="1" customWidth="1"/>
    <col min="5" max="5" width="13" style="663" hidden="1" customWidth="1"/>
    <col min="6" max="6" width="14" style="664" hidden="1" customWidth="1"/>
    <col min="7" max="7" width="11.5" style="29" hidden="1" customWidth="1"/>
    <col min="8" max="8" width="13.5" style="29" hidden="1" customWidth="1"/>
    <col min="9" max="9" width="11.75" style="29" hidden="1" customWidth="1"/>
    <col min="10" max="10" width="12.375" style="29" hidden="1" customWidth="1"/>
    <col min="11" max="11" width="11.875" style="29" hidden="1" customWidth="1"/>
    <col min="12" max="12" width="14" style="29" hidden="1" customWidth="1"/>
    <col min="13" max="13" width="13.375" style="561" hidden="1" customWidth="1"/>
    <col min="14" max="14" width="11.75" style="29" hidden="1" customWidth="1"/>
    <col min="15" max="15" width="13.75" style="29" hidden="1" customWidth="1"/>
    <col min="16" max="16" width="14.75" style="561" hidden="1" customWidth="1"/>
    <col min="17" max="17" width="13.375" style="29" hidden="1" customWidth="1"/>
    <col min="18" max="18" width="13.625" style="29" hidden="1" customWidth="1"/>
    <col min="19" max="19" width="16" style="561" hidden="1" customWidth="1"/>
    <col min="20" max="20" width="14.125" style="667" customWidth="1"/>
    <col min="21" max="21" width="12.375" style="29" hidden="1" customWidth="1"/>
    <col min="22" max="16384" width="9" style="29"/>
  </cols>
  <sheetData>
    <row r="1" spans="1:21" ht="22.5" customHeight="1" x14ac:dyDescent="0.2">
      <c r="A1" s="661"/>
      <c r="B1" s="662"/>
      <c r="O1" s="305"/>
      <c r="P1" s="248"/>
      <c r="Q1" s="305"/>
      <c r="S1" s="665"/>
    </row>
    <row r="2" spans="1:21" ht="45" x14ac:dyDescent="0.25">
      <c r="A2" s="211"/>
      <c r="B2" s="221" t="s">
        <v>38</v>
      </c>
      <c r="C2" s="182" t="s">
        <v>207</v>
      </c>
      <c r="D2" s="19" t="s">
        <v>208</v>
      </c>
      <c r="E2" s="183" t="s">
        <v>348</v>
      </c>
      <c r="F2" s="47" t="s">
        <v>349</v>
      </c>
      <c r="G2" s="302" t="s">
        <v>209</v>
      </c>
      <c r="H2" s="302" t="s">
        <v>210</v>
      </c>
      <c r="I2" s="303" t="s">
        <v>212</v>
      </c>
      <c r="J2" s="304" t="s">
        <v>351</v>
      </c>
      <c r="K2" s="47" t="s">
        <v>1351</v>
      </c>
      <c r="L2" s="47" t="s">
        <v>1352</v>
      </c>
      <c r="M2" s="143" t="s">
        <v>1501</v>
      </c>
      <c r="N2" s="143" t="s">
        <v>1502</v>
      </c>
      <c r="O2" s="234" t="s">
        <v>1503</v>
      </c>
      <c r="P2" s="162" t="s">
        <v>1577</v>
      </c>
      <c r="Q2" s="47"/>
      <c r="R2" s="154" t="s">
        <v>1568</v>
      </c>
      <c r="S2" s="234" t="s">
        <v>1634</v>
      </c>
      <c r="T2" s="668" t="s">
        <v>1686</v>
      </c>
    </row>
    <row r="3" spans="1:21" x14ac:dyDescent="0.2">
      <c r="A3" s="211"/>
      <c r="B3" s="214"/>
      <c r="C3" s="212"/>
      <c r="D3" s="22"/>
      <c r="E3" s="184"/>
      <c r="F3" s="210"/>
      <c r="G3" s="305"/>
      <c r="H3" s="305"/>
      <c r="I3" s="23"/>
      <c r="J3" s="213"/>
      <c r="K3" s="213"/>
      <c r="L3" s="213"/>
      <c r="M3" s="23"/>
      <c r="N3" s="213"/>
      <c r="O3" s="305"/>
      <c r="P3" s="248"/>
      <c r="Q3" s="305"/>
      <c r="R3" s="413"/>
      <c r="S3" s="23"/>
      <c r="T3" s="669"/>
    </row>
    <row r="4" spans="1:21" x14ac:dyDescent="0.2">
      <c r="A4" s="211" t="s">
        <v>352</v>
      </c>
      <c r="B4" s="185" t="s">
        <v>353</v>
      </c>
      <c r="C4" s="212"/>
      <c r="D4" s="22"/>
      <c r="E4" s="197"/>
      <c r="F4" s="210"/>
      <c r="G4" s="23"/>
      <c r="I4" s="23">
        <v>0</v>
      </c>
      <c r="J4" s="23"/>
      <c r="K4" s="213"/>
      <c r="L4" s="213"/>
      <c r="M4" s="23"/>
      <c r="N4" s="213"/>
      <c r="O4" s="305"/>
      <c r="P4" s="248"/>
      <c r="Q4" s="305"/>
      <c r="R4" s="413"/>
      <c r="S4" s="23"/>
      <c r="T4" s="670"/>
    </row>
    <row r="5" spans="1:21" x14ac:dyDescent="0.2">
      <c r="A5" s="211"/>
      <c r="B5" s="185" t="s">
        <v>354</v>
      </c>
      <c r="C5" s="24">
        <v>32850.300000000003</v>
      </c>
      <c r="D5" s="22">
        <v>16425.12</v>
      </c>
      <c r="E5" s="24">
        <v>32850.300000000003</v>
      </c>
      <c r="F5" s="210">
        <v>32850</v>
      </c>
      <c r="G5" s="23">
        <v>16425</v>
      </c>
      <c r="H5" s="23">
        <f>SUM(E5*1.03)</f>
        <v>33835.809000000001</v>
      </c>
      <c r="I5" s="23"/>
      <c r="J5" s="23"/>
      <c r="K5" s="213">
        <v>0</v>
      </c>
      <c r="L5" s="213">
        <v>7500</v>
      </c>
      <c r="M5" s="213">
        <v>26750</v>
      </c>
      <c r="N5" s="213">
        <v>13035.52</v>
      </c>
      <c r="O5" s="213">
        <v>26750</v>
      </c>
      <c r="P5" s="248">
        <v>28250</v>
      </c>
      <c r="Q5" s="219">
        <f>SUM(P5-M5)</f>
        <v>1500</v>
      </c>
      <c r="R5" s="414">
        <v>14150.4</v>
      </c>
      <c r="S5" s="23">
        <f>SUM(P5*1.03)</f>
        <v>29097.5</v>
      </c>
      <c r="T5" s="671">
        <v>53248</v>
      </c>
      <c r="U5" s="561">
        <v>24150.5</v>
      </c>
    </row>
    <row r="6" spans="1:21" x14ac:dyDescent="0.2">
      <c r="A6" s="211" t="s">
        <v>1355</v>
      </c>
      <c r="B6" s="185" t="s">
        <v>355</v>
      </c>
      <c r="C6" s="24"/>
      <c r="D6" s="22"/>
      <c r="E6" s="24">
        <v>30000</v>
      </c>
      <c r="F6" s="210">
        <v>15000</v>
      </c>
      <c r="G6" s="23">
        <v>0</v>
      </c>
      <c r="H6" s="23">
        <v>9000</v>
      </c>
      <c r="I6" s="23">
        <v>21000</v>
      </c>
      <c r="J6" s="26">
        <v>42000</v>
      </c>
      <c r="K6" s="213">
        <v>16728.099999999999</v>
      </c>
      <c r="L6" s="26">
        <v>43260</v>
      </c>
      <c r="M6" s="23">
        <v>75000</v>
      </c>
      <c r="N6" s="213">
        <v>37499.93</v>
      </c>
      <c r="O6" s="23">
        <v>75000</v>
      </c>
      <c r="P6" s="248">
        <v>76500</v>
      </c>
      <c r="Q6" s="219">
        <v>1500</v>
      </c>
      <c r="R6" s="414">
        <v>38942.230000000003</v>
      </c>
      <c r="S6" s="23">
        <v>78030</v>
      </c>
      <c r="T6" s="671"/>
    </row>
    <row r="7" spans="1:21" x14ac:dyDescent="0.2">
      <c r="A7" s="211" t="s">
        <v>356</v>
      </c>
      <c r="B7" s="214" t="s">
        <v>274</v>
      </c>
      <c r="C7" s="24">
        <v>24157.119999999999</v>
      </c>
      <c r="D7" s="22">
        <v>12088.8</v>
      </c>
      <c r="E7" s="24">
        <v>24157.119999999999</v>
      </c>
      <c r="F7" s="210">
        <v>25657.119999999999</v>
      </c>
      <c r="G7" s="23">
        <v>12834.95</v>
      </c>
      <c r="H7" s="23">
        <f>SUM($F7*1.03)</f>
        <v>26426.833599999998</v>
      </c>
      <c r="I7" s="23">
        <v>13323.51</v>
      </c>
      <c r="J7" s="26">
        <f>SUM($F7*1.03)</f>
        <v>26426.833599999998</v>
      </c>
      <c r="K7" s="213">
        <v>13613.6</v>
      </c>
      <c r="L7" s="26">
        <v>27219.64</v>
      </c>
      <c r="M7" s="23">
        <v>30597</v>
      </c>
      <c r="N7" s="213">
        <v>14827.68</v>
      </c>
      <c r="O7" s="23">
        <v>30597</v>
      </c>
      <c r="P7" s="248">
        <v>32097</v>
      </c>
      <c r="Q7" s="219">
        <f>SUM(P7-M7)</f>
        <v>1500</v>
      </c>
      <c r="R7" s="415">
        <v>15886.21</v>
      </c>
      <c r="S7" s="23">
        <f>SUM(P7*1.03)</f>
        <v>33059.910000000003</v>
      </c>
      <c r="T7" s="671">
        <v>45181.95</v>
      </c>
      <c r="U7" s="561">
        <v>12122.04</v>
      </c>
    </row>
    <row r="8" spans="1:21" x14ac:dyDescent="0.2">
      <c r="A8" s="211" t="s">
        <v>357</v>
      </c>
      <c r="B8" s="214" t="s">
        <v>1650</v>
      </c>
      <c r="C8" s="24"/>
      <c r="D8" s="22"/>
      <c r="E8" s="24"/>
      <c r="F8" s="210"/>
      <c r="G8" s="23"/>
      <c r="H8" s="23"/>
      <c r="I8" s="23">
        <v>1820.04</v>
      </c>
      <c r="J8" s="26">
        <v>3336.63</v>
      </c>
      <c r="K8" s="213">
        <v>1820.04</v>
      </c>
      <c r="L8" s="26">
        <v>3336.63</v>
      </c>
      <c r="M8" s="26">
        <v>0</v>
      </c>
      <c r="N8" s="213">
        <v>0</v>
      </c>
      <c r="O8" s="26">
        <v>0</v>
      </c>
      <c r="P8" s="248"/>
      <c r="Q8" s="305"/>
      <c r="R8" s="415">
        <v>0</v>
      </c>
      <c r="S8" s="23">
        <f>SUM(P8*1.03)</f>
        <v>0</v>
      </c>
      <c r="T8" s="671">
        <v>42000</v>
      </c>
      <c r="U8" s="561">
        <v>42000</v>
      </c>
    </row>
    <row r="9" spans="1:21" x14ac:dyDescent="0.2">
      <c r="A9" s="211" t="s">
        <v>358</v>
      </c>
      <c r="B9" s="185" t="s">
        <v>359</v>
      </c>
      <c r="C9" s="25">
        <v>1153.3599999999999</v>
      </c>
      <c r="D9" s="22">
        <v>621.04</v>
      </c>
      <c r="E9" s="25">
        <v>1153.3599999999999</v>
      </c>
      <c r="F9" s="210">
        <v>1204.49</v>
      </c>
      <c r="G9" s="23">
        <v>519.64</v>
      </c>
      <c r="H9" s="210">
        <v>1250</v>
      </c>
      <c r="I9" s="23">
        <v>486.8</v>
      </c>
      <c r="J9" s="215">
        <v>1250</v>
      </c>
      <c r="K9" s="213">
        <v>0</v>
      </c>
      <c r="L9" s="215">
        <v>1250</v>
      </c>
      <c r="M9" s="215">
        <v>0</v>
      </c>
      <c r="N9" s="213">
        <v>0</v>
      </c>
      <c r="O9" s="215">
        <v>0</v>
      </c>
      <c r="P9" s="248"/>
      <c r="Q9" s="305"/>
      <c r="R9" s="413">
        <v>120.96</v>
      </c>
      <c r="S9" s="23">
        <v>1865</v>
      </c>
      <c r="T9" s="671">
        <v>1865</v>
      </c>
    </row>
    <row r="10" spans="1:21" x14ac:dyDescent="0.2">
      <c r="A10" s="211" t="s">
        <v>360</v>
      </c>
      <c r="B10" s="214" t="s">
        <v>220</v>
      </c>
      <c r="C10" s="24">
        <v>0</v>
      </c>
      <c r="D10" s="22">
        <v>0</v>
      </c>
      <c r="E10" s="24">
        <v>0</v>
      </c>
      <c r="F10" s="210">
        <v>400</v>
      </c>
      <c r="G10" s="23">
        <v>150</v>
      </c>
      <c r="H10" s="210">
        <v>682.5</v>
      </c>
      <c r="I10" s="23">
        <v>237.5</v>
      </c>
      <c r="J10" s="26">
        <v>682.5</v>
      </c>
      <c r="K10" s="213">
        <v>180</v>
      </c>
      <c r="L10" s="23">
        <v>382.5</v>
      </c>
      <c r="M10" s="23">
        <v>682.5</v>
      </c>
      <c r="N10" s="213">
        <v>357.5</v>
      </c>
      <c r="O10" s="307">
        <v>742.5</v>
      </c>
      <c r="P10" s="308">
        <v>742.5</v>
      </c>
      <c r="Q10" s="305"/>
      <c r="R10" s="415">
        <v>390</v>
      </c>
      <c r="S10" s="289">
        <v>1077.5</v>
      </c>
      <c r="T10" s="671">
        <v>1217.5</v>
      </c>
    </row>
    <row r="11" spans="1:21" x14ac:dyDescent="0.2">
      <c r="A11" s="211" t="s">
        <v>361</v>
      </c>
      <c r="B11" s="214" t="s">
        <v>226</v>
      </c>
      <c r="C11" s="24">
        <v>250</v>
      </c>
      <c r="D11" s="22">
        <v>13.51</v>
      </c>
      <c r="E11" s="24">
        <v>250</v>
      </c>
      <c r="F11" s="210">
        <v>250</v>
      </c>
      <c r="G11" s="23">
        <v>14.33</v>
      </c>
      <c r="H11" s="210">
        <v>250</v>
      </c>
      <c r="I11" s="23">
        <v>17.59</v>
      </c>
      <c r="J11" s="26">
        <v>251.71</v>
      </c>
      <c r="K11" s="213">
        <v>16.22</v>
      </c>
      <c r="L11" s="26">
        <v>251.71</v>
      </c>
      <c r="M11" s="26">
        <v>250</v>
      </c>
      <c r="N11" s="213">
        <v>18.73</v>
      </c>
      <c r="O11" s="307"/>
      <c r="P11" s="248">
        <v>250</v>
      </c>
      <c r="Q11" s="305"/>
      <c r="R11" s="415">
        <v>22.93</v>
      </c>
      <c r="S11" s="23"/>
      <c r="T11" s="671"/>
      <c r="U11" s="577"/>
    </row>
    <row r="12" spans="1:21" x14ac:dyDescent="0.2">
      <c r="A12" s="211" t="s">
        <v>362</v>
      </c>
      <c r="B12" s="214" t="s">
        <v>228</v>
      </c>
      <c r="C12" s="24">
        <f>SUM(C5:C10)*0.1262</f>
        <v>7339.8904360000006</v>
      </c>
      <c r="D12" s="22">
        <v>3752.36</v>
      </c>
      <c r="E12" s="24">
        <f>SUM(E5:E10)*0.1262</f>
        <v>11125.890436</v>
      </c>
      <c r="F12" s="19">
        <f>SUM(F5:F10)*0.129</f>
        <v>9689.3976899999998</v>
      </c>
      <c r="G12" s="23">
        <v>3951.35</v>
      </c>
      <c r="H12" s="19">
        <f>SUM(F5:F10)*0.129</f>
        <v>9689.3976899999998</v>
      </c>
      <c r="I12" s="23">
        <v>4491.46</v>
      </c>
      <c r="J12" s="216">
        <v>8859.25</v>
      </c>
      <c r="K12" s="213">
        <v>3818.56</v>
      </c>
      <c r="L12" s="217">
        <f>SUM(L$6:L$10)*0.12</f>
        <v>9053.8523999999998</v>
      </c>
      <c r="M12" s="217">
        <v>14766.27</v>
      </c>
      <c r="N12" s="213">
        <v>7559.95</v>
      </c>
      <c r="O12" s="289">
        <f>SUM(O$4:O$9)*0.0145</f>
        <v>1919.0315000000001</v>
      </c>
      <c r="P12" s="248">
        <f>SUM(P$4:P$10)*0.099</f>
        <v>13621.360500000001</v>
      </c>
      <c r="Q12" s="23">
        <f>SUM(Q$4:Q$10)*0.099</f>
        <v>445.5</v>
      </c>
      <c r="R12" s="415">
        <v>7724.98</v>
      </c>
      <c r="S12" s="23">
        <f>SUM(S$4:S$10)*0.095</f>
        <v>13597.34145</v>
      </c>
      <c r="T12" s="672">
        <f>SUM(T$5:T$10)*0.085</f>
        <v>12198.558250000002</v>
      </c>
      <c r="U12" s="577" cm="1">
        <f t="array" ref="U12">SUM(U5:U8-U6)*0.085</f>
        <v>6653.1659000000009</v>
      </c>
    </row>
    <row r="13" spans="1:21" x14ac:dyDescent="0.2">
      <c r="A13" s="211" t="s">
        <v>363</v>
      </c>
      <c r="B13" s="214" t="s">
        <v>230</v>
      </c>
      <c r="C13" s="24">
        <f>SUM(C5:C10)*0.0145</f>
        <v>843.33131000000003</v>
      </c>
      <c r="D13" s="22">
        <v>441.81</v>
      </c>
      <c r="E13" s="24">
        <f>SUM(E5:E10)*0.0145</f>
        <v>1278.33131</v>
      </c>
      <c r="F13" s="19">
        <f>SUM(F5:F10)*0.0145</f>
        <v>1089.1183450000001</v>
      </c>
      <c r="G13" s="23">
        <v>451.46</v>
      </c>
      <c r="H13" s="19">
        <f>SUM(F6:F11)*0.0145</f>
        <v>616.41834499999993</v>
      </c>
      <c r="I13" s="23">
        <v>528.19000000000005</v>
      </c>
      <c r="J13" s="216">
        <v>1068.5899999999999</v>
      </c>
      <c r="K13" s="213">
        <v>463.69</v>
      </c>
      <c r="L13" s="217">
        <f>SUM(L$6:L$10)*0.0145</f>
        <v>1094.0071650000002</v>
      </c>
      <c r="M13" s="217">
        <v>1928.93</v>
      </c>
      <c r="N13" s="213">
        <v>940.65</v>
      </c>
      <c r="O13" s="289">
        <f>SUM(O$4:O$9)*0.062</f>
        <v>8205.5139999999992</v>
      </c>
      <c r="P13" s="248">
        <f>SUM(P$4:P$9)*0.0145</f>
        <v>1984.2815000000001</v>
      </c>
      <c r="Q13" s="23">
        <f>SUM(Q$4:Q$9)*0.0145</f>
        <v>65.25</v>
      </c>
      <c r="R13" s="415">
        <v>1050.3499999999999</v>
      </c>
      <c r="S13" s="23">
        <f>SUM(S$4:S$9)*0.0145</f>
        <v>2059.7599450000002</v>
      </c>
      <c r="T13" s="672">
        <f>SUM(T$4:T$10)*0.0145</f>
        <v>2080.9305250000002</v>
      </c>
    </row>
    <row r="14" spans="1:21" x14ac:dyDescent="0.2">
      <c r="A14" s="211" t="s">
        <v>364</v>
      </c>
      <c r="B14" s="214" t="s">
        <v>232</v>
      </c>
      <c r="C14" s="24">
        <f>SUM(C5:C10)*0.062</f>
        <v>3605.9683599999998</v>
      </c>
      <c r="D14" s="22">
        <v>1889.21</v>
      </c>
      <c r="E14" s="24">
        <f>SUM(E5:E10)*0.062</f>
        <v>5465.9683599999998</v>
      </c>
      <c r="F14" s="19">
        <f>SUM(F5:F11)*0.062</f>
        <v>4672.4198200000001</v>
      </c>
      <c r="G14" s="23">
        <v>1930.38</v>
      </c>
      <c r="H14" s="19">
        <f>SUM(F7:F12)*0.062</f>
        <v>2306.4624767800001</v>
      </c>
      <c r="I14" s="23">
        <v>2258.19</v>
      </c>
      <c r="J14" s="216">
        <v>4569.1499999999996</v>
      </c>
      <c r="K14" s="213">
        <v>1982.27</v>
      </c>
      <c r="L14" s="217">
        <f>SUM(L$6:L$10)*0.062</f>
        <v>4677.8237399999998</v>
      </c>
      <c r="M14" s="218">
        <f>SUM(M$5:M$10)*0.062</f>
        <v>8247.8289999999997</v>
      </c>
      <c r="N14" s="213">
        <v>4022.03</v>
      </c>
      <c r="P14" s="248">
        <f>SUM(P$5:P$10)*0.062</f>
        <v>8530.5489999999991</v>
      </c>
      <c r="Q14" s="23">
        <f>SUM(Q$5:Q$10)*0.062</f>
        <v>279</v>
      </c>
      <c r="R14" s="415">
        <v>4491.24</v>
      </c>
      <c r="S14" s="23">
        <f>SUM(S$5:S$10)*0.062</f>
        <v>8874.0544200000004</v>
      </c>
      <c r="T14" s="672">
        <f>SUM(T$5:T$10)*0.062</f>
        <v>8897.7719000000016</v>
      </c>
    </row>
    <row r="15" spans="1:21" x14ac:dyDescent="0.2">
      <c r="A15" s="211" t="s">
        <v>365</v>
      </c>
      <c r="B15" s="214" t="s">
        <v>234</v>
      </c>
      <c r="C15" s="219">
        <v>7902.72</v>
      </c>
      <c r="D15" s="22">
        <v>4609.92</v>
      </c>
      <c r="E15" s="219">
        <v>7902.72</v>
      </c>
      <c r="F15" s="210">
        <v>8487.5212800000008</v>
      </c>
      <c r="G15" s="23">
        <v>4243.68</v>
      </c>
      <c r="H15" s="23">
        <v>9149.5499999999993</v>
      </c>
      <c r="I15" s="23">
        <v>9116.16</v>
      </c>
      <c r="J15" s="23">
        <v>18232.32</v>
      </c>
      <c r="K15" s="213">
        <v>8910.89</v>
      </c>
      <c r="L15" s="23">
        <v>18596.96</v>
      </c>
      <c r="M15" s="23">
        <v>21260</v>
      </c>
      <c r="N15" s="213">
        <v>9731.0400000000009</v>
      </c>
      <c r="O15" s="286">
        <v>22611.360000000001</v>
      </c>
      <c r="P15" s="248">
        <v>22611.360000000001</v>
      </c>
      <c r="Q15" s="305"/>
      <c r="R15" s="415">
        <v>12247.82</v>
      </c>
      <c r="S15" s="23">
        <v>24216</v>
      </c>
      <c r="T15" s="673">
        <v>12762.24</v>
      </c>
      <c r="U15" s="561">
        <v>12762.24</v>
      </c>
    </row>
    <row r="16" spans="1:21" x14ac:dyDescent="0.2">
      <c r="A16" s="211" t="s">
        <v>366</v>
      </c>
      <c r="B16" s="214" t="s">
        <v>236</v>
      </c>
      <c r="C16" s="24"/>
      <c r="D16" s="22">
        <v>0</v>
      </c>
      <c r="E16" s="24"/>
      <c r="F16" s="210"/>
      <c r="G16" s="23">
        <v>0</v>
      </c>
      <c r="H16" s="23"/>
      <c r="I16" s="23">
        <v>0</v>
      </c>
      <c r="J16" s="23"/>
      <c r="K16" s="213">
        <v>0</v>
      </c>
      <c r="L16" s="23"/>
      <c r="M16" s="23">
        <v>0</v>
      </c>
      <c r="N16" s="213">
        <v>0</v>
      </c>
      <c r="O16" s="307"/>
      <c r="P16" s="248"/>
      <c r="Q16" s="305"/>
      <c r="R16" s="415">
        <v>0</v>
      </c>
      <c r="S16" s="23"/>
      <c r="T16" s="674"/>
    </row>
    <row r="17" spans="1:21" x14ac:dyDescent="0.2">
      <c r="A17" s="211" t="s">
        <v>1478</v>
      </c>
      <c r="B17" s="214" t="s">
        <v>1479</v>
      </c>
      <c r="C17" s="24"/>
      <c r="D17" s="22"/>
      <c r="E17" s="24"/>
      <c r="F17" s="210"/>
      <c r="G17" s="23"/>
      <c r="H17" s="23"/>
      <c r="I17" s="23"/>
      <c r="J17" s="23"/>
      <c r="K17" s="213"/>
      <c r="L17" s="23"/>
      <c r="M17" s="23">
        <v>3600</v>
      </c>
      <c r="N17" s="213">
        <v>1800.11</v>
      </c>
      <c r="O17" s="23">
        <v>3600</v>
      </c>
      <c r="P17" s="248">
        <v>3600</v>
      </c>
      <c r="Q17" s="305"/>
      <c r="R17" s="415">
        <v>1938.58</v>
      </c>
      <c r="S17" s="26">
        <v>3600</v>
      </c>
      <c r="T17" s="671">
        <v>0</v>
      </c>
      <c r="U17" s="577">
        <f>SUM(U5:U15)</f>
        <v>97687.945900000021</v>
      </c>
    </row>
    <row r="18" spans="1:21" x14ac:dyDescent="0.2">
      <c r="A18" s="211" t="s">
        <v>1576</v>
      </c>
      <c r="B18" s="214" t="s">
        <v>1571</v>
      </c>
      <c r="C18" s="24"/>
      <c r="D18" s="22"/>
      <c r="E18" s="24"/>
      <c r="F18" s="210"/>
      <c r="G18" s="23"/>
      <c r="H18" s="23"/>
      <c r="I18" s="23"/>
      <c r="J18" s="23"/>
      <c r="K18" s="213"/>
      <c r="L18" s="23"/>
      <c r="M18" s="23"/>
      <c r="N18" s="213"/>
      <c r="O18" s="23"/>
      <c r="P18" s="248">
        <v>0</v>
      </c>
      <c r="Q18" s="305"/>
      <c r="R18" s="415">
        <v>2348.38</v>
      </c>
      <c r="S18" s="23">
        <v>0</v>
      </c>
      <c r="T18" s="671"/>
    </row>
    <row r="19" spans="1:21" x14ac:dyDescent="0.2">
      <c r="A19" s="211" t="s">
        <v>367</v>
      </c>
      <c r="B19" s="214" t="s">
        <v>368</v>
      </c>
      <c r="C19" s="24"/>
      <c r="D19" s="22">
        <v>0</v>
      </c>
      <c r="E19" s="24"/>
      <c r="F19" s="210"/>
      <c r="G19" s="23">
        <v>0</v>
      </c>
      <c r="H19" s="23"/>
      <c r="I19" s="23">
        <v>0</v>
      </c>
      <c r="J19" s="23"/>
      <c r="K19" s="213">
        <v>0</v>
      </c>
      <c r="L19" s="23"/>
      <c r="M19" s="23">
        <v>0</v>
      </c>
      <c r="N19" s="213">
        <v>0</v>
      </c>
      <c r="O19" s="23">
        <v>0</v>
      </c>
      <c r="P19" s="248">
        <v>0</v>
      </c>
      <c r="Q19" s="305"/>
      <c r="R19" s="415">
        <v>0</v>
      </c>
      <c r="S19" s="23">
        <v>0</v>
      </c>
      <c r="T19" s="671">
        <v>250</v>
      </c>
    </row>
    <row r="20" spans="1:21" x14ac:dyDescent="0.2">
      <c r="A20" s="211" t="s">
        <v>369</v>
      </c>
      <c r="B20" s="214" t="s">
        <v>240</v>
      </c>
      <c r="C20" s="24">
        <v>3000</v>
      </c>
      <c r="D20" s="22">
        <v>504.1</v>
      </c>
      <c r="E20" s="24">
        <v>3000</v>
      </c>
      <c r="F20" s="19">
        <v>3000</v>
      </c>
      <c r="G20" s="23">
        <v>765.66</v>
      </c>
      <c r="H20" s="23">
        <v>3000</v>
      </c>
      <c r="I20" s="23">
        <v>797.33</v>
      </c>
      <c r="J20" s="23">
        <v>3000</v>
      </c>
      <c r="K20" s="213">
        <v>791</v>
      </c>
      <c r="L20" s="23">
        <v>3000</v>
      </c>
      <c r="M20" s="23">
        <v>3000</v>
      </c>
      <c r="N20" s="213">
        <v>1857.49</v>
      </c>
      <c r="O20" s="23">
        <v>3000</v>
      </c>
      <c r="P20" s="248">
        <v>3000</v>
      </c>
      <c r="Q20" s="305"/>
      <c r="R20" s="415">
        <v>378.92</v>
      </c>
      <c r="S20" s="23">
        <v>3000</v>
      </c>
      <c r="T20" s="671">
        <v>2500</v>
      </c>
    </row>
    <row r="21" spans="1:21" x14ac:dyDescent="0.2">
      <c r="A21" s="211" t="s">
        <v>370</v>
      </c>
      <c r="B21" s="214" t="s">
        <v>242</v>
      </c>
      <c r="C21" s="24">
        <v>1000</v>
      </c>
      <c r="D21" s="22">
        <v>230.65</v>
      </c>
      <c r="E21" s="24">
        <v>1000</v>
      </c>
      <c r="F21" s="19">
        <v>1000</v>
      </c>
      <c r="G21" s="23">
        <v>212.95</v>
      </c>
      <c r="H21" s="23">
        <v>1000</v>
      </c>
      <c r="I21" s="23">
        <v>120.78</v>
      </c>
      <c r="J21" s="23">
        <v>1000</v>
      </c>
      <c r="K21" s="213">
        <v>216.13</v>
      </c>
      <c r="L21" s="23">
        <v>750</v>
      </c>
      <c r="M21" s="23">
        <v>750</v>
      </c>
      <c r="N21" s="213">
        <v>147.03</v>
      </c>
      <c r="O21" s="23">
        <v>750</v>
      </c>
      <c r="P21" s="248">
        <v>750</v>
      </c>
      <c r="Q21" s="305"/>
      <c r="R21" s="415">
        <v>137.88999999999999</v>
      </c>
      <c r="S21" s="23">
        <v>750</v>
      </c>
      <c r="T21" s="671">
        <v>500</v>
      </c>
    </row>
    <row r="22" spans="1:21" x14ac:dyDescent="0.2">
      <c r="A22" s="211" t="s">
        <v>371</v>
      </c>
      <c r="B22" s="214" t="s">
        <v>244</v>
      </c>
      <c r="C22" s="24">
        <v>250</v>
      </c>
      <c r="D22" s="22">
        <v>0</v>
      </c>
      <c r="E22" s="24">
        <v>250</v>
      </c>
      <c r="F22" s="19">
        <v>250</v>
      </c>
      <c r="G22" s="23">
        <v>0</v>
      </c>
      <c r="H22" s="23">
        <v>0</v>
      </c>
      <c r="I22" s="23">
        <v>44.2</v>
      </c>
      <c r="J22" s="23">
        <v>250</v>
      </c>
      <c r="K22" s="213">
        <v>54.7</v>
      </c>
      <c r="L22" s="23">
        <v>250</v>
      </c>
      <c r="M22" s="23">
        <v>250</v>
      </c>
      <c r="N22" s="213">
        <v>0</v>
      </c>
      <c r="O22" s="23">
        <v>250</v>
      </c>
      <c r="P22" s="248">
        <v>250</v>
      </c>
      <c r="Q22" s="305"/>
      <c r="R22" s="415">
        <v>0</v>
      </c>
      <c r="S22" s="23">
        <v>250</v>
      </c>
      <c r="T22" s="671">
        <v>500</v>
      </c>
    </row>
    <row r="23" spans="1:21" x14ac:dyDescent="0.2">
      <c r="A23" s="211" t="s">
        <v>372</v>
      </c>
      <c r="B23" s="214" t="s">
        <v>373</v>
      </c>
      <c r="C23" s="24"/>
      <c r="D23" s="22">
        <v>0</v>
      </c>
      <c r="E23" s="24"/>
      <c r="F23" s="19"/>
      <c r="G23" s="23">
        <v>0</v>
      </c>
      <c r="H23" s="23">
        <v>0</v>
      </c>
      <c r="I23" s="23"/>
      <c r="J23" s="23">
        <v>0</v>
      </c>
      <c r="K23" s="213"/>
      <c r="L23" s="23">
        <v>0</v>
      </c>
      <c r="M23" s="23">
        <v>0</v>
      </c>
      <c r="N23" s="213"/>
      <c r="O23" s="23">
        <v>0</v>
      </c>
      <c r="P23" s="248">
        <v>0</v>
      </c>
      <c r="Q23" s="305"/>
      <c r="R23" s="415">
        <v>0</v>
      </c>
      <c r="S23" s="23">
        <v>0</v>
      </c>
      <c r="T23" s="671"/>
    </row>
    <row r="24" spans="1:21" x14ac:dyDescent="0.2">
      <c r="A24" s="211" t="s">
        <v>374</v>
      </c>
      <c r="B24" s="214" t="s">
        <v>325</v>
      </c>
      <c r="C24" s="24"/>
      <c r="D24" s="22">
        <v>0</v>
      </c>
      <c r="E24" s="24"/>
      <c r="F24" s="19">
        <v>1800</v>
      </c>
      <c r="G24" s="23">
        <v>832.98</v>
      </c>
      <c r="H24" s="23">
        <v>832.98</v>
      </c>
      <c r="I24" s="23">
        <v>865.8</v>
      </c>
      <c r="J24" s="23">
        <v>1800</v>
      </c>
      <c r="K24" s="213">
        <v>1086.7</v>
      </c>
      <c r="L24" s="23">
        <v>1800</v>
      </c>
      <c r="M24" s="23">
        <v>1968.4</v>
      </c>
      <c r="N24" s="213">
        <v>1064.4000000000001</v>
      </c>
      <c r="O24" s="23">
        <v>1968.4</v>
      </c>
      <c r="P24" s="248">
        <v>1968.4</v>
      </c>
      <c r="Q24" s="305"/>
      <c r="R24" s="415">
        <v>859.18</v>
      </c>
      <c r="S24" s="23">
        <v>1968.4</v>
      </c>
      <c r="T24" s="671">
        <v>1968.4</v>
      </c>
    </row>
    <row r="25" spans="1:21" x14ac:dyDescent="0.2">
      <c r="A25" s="211" t="s">
        <v>375</v>
      </c>
      <c r="B25" s="214" t="s">
        <v>376</v>
      </c>
      <c r="C25" s="24">
        <v>177.5</v>
      </c>
      <c r="D25" s="22">
        <v>71</v>
      </c>
      <c r="E25" s="24">
        <v>177.5</v>
      </c>
      <c r="F25" s="19">
        <v>177.5</v>
      </c>
      <c r="G25" s="23">
        <v>0</v>
      </c>
      <c r="H25" s="23">
        <v>0</v>
      </c>
      <c r="I25" s="23">
        <v>0</v>
      </c>
      <c r="J25" s="23">
        <v>200</v>
      </c>
      <c r="K25" s="213">
        <v>355</v>
      </c>
      <c r="L25" s="23">
        <v>200</v>
      </c>
      <c r="M25" s="23">
        <v>200</v>
      </c>
      <c r="N25" s="213">
        <v>121</v>
      </c>
      <c r="O25" s="23">
        <v>200</v>
      </c>
      <c r="P25" s="248">
        <v>200</v>
      </c>
      <c r="Q25" s="305"/>
      <c r="R25" s="415">
        <v>0</v>
      </c>
      <c r="S25" s="23">
        <v>200</v>
      </c>
      <c r="T25" s="671">
        <v>200</v>
      </c>
    </row>
    <row r="26" spans="1:21" x14ac:dyDescent="0.2">
      <c r="A26" s="211" t="s">
        <v>377</v>
      </c>
      <c r="B26" s="214" t="s">
        <v>250</v>
      </c>
      <c r="C26" s="24">
        <v>3000</v>
      </c>
      <c r="D26" s="22">
        <v>919.06</v>
      </c>
      <c r="E26" s="24">
        <v>3000</v>
      </c>
      <c r="F26" s="19">
        <v>3000</v>
      </c>
      <c r="G26" s="23">
        <v>1475.67</v>
      </c>
      <c r="H26" s="23">
        <v>4000</v>
      </c>
      <c r="I26" s="23">
        <v>2344.13</v>
      </c>
      <c r="J26" s="23">
        <v>4000</v>
      </c>
      <c r="K26" s="213">
        <v>2121.4899999999998</v>
      </c>
      <c r="L26" s="23">
        <v>3500</v>
      </c>
      <c r="M26" s="23">
        <v>6000</v>
      </c>
      <c r="N26" s="213">
        <v>5657.33</v>
      </c>
      <c r="O26" s="23">
        <v>6000</v>
      </c>
      <c r="P26" s="248">
        <v>7500</v>
      </c>
      <c r="Q26" s="305"/>
      <c r="R26" s="415">
        <v>4696.4799999999996</v>
      </c>
      <c r="S26" s="23">
        <v>7500</v>
      </c>
      <c r="T26" s="671">
        <v>8500</v>
      </c>
    </row>
    <row r="27" spans="1:21" x14ac:dyDescent="0.2">
      <c r="A27" s="211" t="s">
        <v>378</v>
      </c>
      <c r="B27" s="214" t="s">
        <v>329</v>
      </c>
      <c r="C27" s="24">
        <v>250</v>
      </c>
      <c r="D27" s="22">
        <v>55</v>
      </c>
      <c r="E27" s="24">
        <v>250</v>
      </c>
      <c r="F27" s="19">
        <v>250</v>
      </c>
      <c r="G27" s="23">
        <v>130</v>
      </c>
      <c r="H27" s="23">
        <v>130</v>
      </c>
      <c r="I27" s="23">
        <v>135</v>
      </c>
      <c r="J27" s="23">
        <v>130</v>
      </c>
      <c r="K27" s="213">
        <v>75</v>
      </c>
      <c r="L27" s="23">
        <v>150</v>
      </c>
      <c r="M27" s="23">
        <v>200</v>
      </c>
      <c r="N27" s="213">
        <v>190</v>
      </c>
      <c r="O27" s="23">
        <v>200</v>
      </c>
      <c r="P27" s="248">
        <v>600</v>
      </c>
      <c r="Q27" s="305"/>
      <c r="R27" s="415">
        <v>190</v>
      </c>
      <c r="S27" s="23">
        <v>600</v>
      </c>
      <c r="T27" s="671">
        <v>850</v>
      </c>
    </row>
    <row r="28" spans="1:21" x14ac:dyDescent="0.2">
      <c r="A28" s="211" t="s">
        <v>379</v>
      </c>
      <c r="B28" s="214" t="s">
        <v>254</v>
      </c>
      <c r="C28" s="24">
        <v>2000</v>
      </c>
      <c r="D28" s="22">
        <v>858.45</v>
      </c>
      <c r="E28" s="24">
        <v>2000</v>
      </c>
      <c r="F28" s="19">
        <v>2000</v>
      </c>
      <c r="G28" s="23">
        <v>877.99</v>
      </c>
      <c r="H28" s="23">
        <v>2000</v>
      </c>
      <c r="I28" s="23">
        <v>1045.21</v>
      </c>
      <c r="J28" s="23">
        <v>2000</v>
      </c>
      <c r="K28" s="213">
        <v>911.55</v>
      </c>
      <c r="L28" s="23">
        <v>2200</v>
      </c>
      <c r="M28" s="23">
        <v>2200</v>
      </c>
      <c r="N28" s="213">
        <v>0</v>
      </c>
      <c r="O28" s="23">
        <v>2200</v>
      </c>
      <c r="P28" s="248">
        <v>2200</v>
      </c>
      <c r="Q28" s="305"/>
      <c r="R28" s="415">
        <v>0</v>
      </c>
      <c r="S28" s="23">
        <v>250</v>
      </c>
      <c r="T28" s="671">
        <v>0</v>
      </c>
    </row>
    <row r="29" spans="1:21" x14ac:dyDescent="0.2">
      <c r="A29" s="211" t="s">
        <v>380</v>
      </c>
      <c r="B29" s="214" t="s">
        <v>381</v>
      </c>
      <c r="C29" s="24">
        <v>600</v>
      </c>
      <c r="D29" s="22">
        <v>300</v>
      </c>
      <c r="E29" s="24">
        <v>600</v>
      </c>
      <c r="F29" s="19">
        <v>600</v>
      </c>
      <c r="G29" s="23">
        <v>300</v>
      </c>
      <c r="H29" s="23">
        <v>600</v>
      </c>
      <c r="I29" s="23">
        <v>0</v>
      </c>
      <c r="J29" s="23">
        <v>600</v>
      </c>
      <c r="K29" s="213">
        <v>0</v>
      </c>
      <c r="L29" s="23">
        <v>600</v>
      </c>
      <c r="M29" s="23">
        <v>0</v>
      </c>
      <c r="N29" s="213">
        <v>0</v>
      </c>
      <c r="O29" s="23">
        <v>0</v>
      </c>
      <c r="P29" s="248">
        <v>0</v>
      </c>
      <c r="Q29" s="305"/>
      <c r="R29" s="415">
        <v>0</v>
      </c>
      <c r="S29" s="23">
        <v>0</v>
      </c>
      <c r="T29" s="671"/>
    </row>
    <row r="30" spans="1:21" x14ac:dyDescent="0.2">
      <c r="A30" s="211" t="s">
        <v>382</v>
      </c>
      <c r="B30" s="214" t="s">
        <v>383</v>
      </c>
      <c r="C30" s="24">
        <v>200</v>
      </c>
      <c r="D30" s="22">
        <v>0</v>
      </c>
      <c r="E30" s="24">
        <v>200</v>
      </c>
      <c r="F30" s="19">
        <v>200</v>
      </c>
      <c r="G30" s="23">
        <v>0</v>
      </c>
      <c r="H30" s="19">
        <v>200</v>
      </c>
      <c r="I30" s="23">
        <v>0</v>
      </c>
      <c r="J30" s="19">
        <v>200</v>
      </c>
      <c r="K30" s="213">
        <v>0</v>
      </c>
      <c r="L30" s="19">
        <v>200</v>
      </c>
      <c r="M30" s="19">
        <v>200</v>
      </c>
      <c r="N30" s="213">
        <v>0</v>
      </c>
      <c r="O30" s="19">
        <v>200</v>
      </c>
      <c r="P30" s="249">
        <v>200</v>
      </c>
      <c r="Q30" s="305"/>
      <c r="R30" s="415">
        <v>0</v>
      </c>
      <c r="S30" s="19">
        <v>200</v>
      </c>
      <c r="T30" s="671">
        <v>200</v>
      </c>
    </row>
    <row r="31" spans="1:21" x14ac:dyDescent="0.2">
      <c r="A31" s="211" t="s">
        <v>384</v>
      </c>
      <c r="B31" s="214" t="s">
        <v>385</v>
      </c>
      <c r="C31" s="24">
        <v>300</v>
      </c>
      <c r="D31" s="22">
        <v>0</v>
      </c>
      <c r="E31" s="24">
        <v>300</v>
      </c>
      <c r="F31" s="19">
        <v>300</v>
      </c>
      <c r="G31" s="23">
        <v>0</v>
      </c>
      <c r="H31" s="19">
        <v>300</v>
      </c>
      <c r="I31" s="23">
        <v>0</v>
      </c>
      <c r="J31" s="19">
        <v>300</v>
      </c>
      <c r="K31" s="213">
        <v>0</v>
      </c>
      <c r="L31" s="19">
        <v>300</v>
      </c>
      <c r="M31" s="19">
        <v>0</v>
      </c>
      <c r="N31" s="213">
        <v>0</v>
      </c>
      <c r="O31" s="19">
        <v>0</v>
      </c>
      <c r="P31" s="249">
        <v>0</v>
      </c>
      <c r="Q31" s="305"/>
      <c r="R31" s="369">
        <v>0</v>
      </c>
      <c r="S31" s="19">
        <v>0</v>
      </c>
      <c r="T31" s="671"/>
    </row>
    <row r="32" spans="1:21" x14ac:dyDescent="0.2">
      <c r="A32" s="211" t="s">
        <v>386</v>
      </c>
      <c r="B32" s="214" t="s">
        <v>387</v>
      </c>
      <c r="C32" s="24">
        <v>5000</v>
      </c>
      <c r="D32" s="22">
        <v>0</v>
      </c>
      <c r="E32" s="24">
        <v>5000</v>
      </c>
      <c r="F32" s="19">
        <v>5000</v>
      </c>
      <c r="G32" s="23">
        <v>0</v>
      </c>
      <c r="H32" s="19">
        <v>3000</v>
      </c>
      <c r="I32" s="23">
        <v>0</v>
      </c>
      <c r="J32" s="19">
        <v>3000</v>
      </c>
      <c r="K32" s="213">
        <v>0</v>
      </c>
      <c r="L32" s="19">
        <v>3000</v>
      </c>
      <c r="M32" s="19">
        <v>3000</v>
      </c>
      <c r="N32" s="213">
        <v>49.5</v>
      </c>
      <c r="O32" s="19">
        <v>3000</v>
      </c>
      <c r="P32" s="249">
        <v>3000</v>
      </c>
      <c r="Q32" s="305"/>
      <c r="R32" s="369">
        <v>0</v>
      </c>
      <c r="S32" s="19">
        <v>3000</v>
      </c>
      <c r="T32" s="671">
        <v>2000</v>
      </c>
    </row>
    <row r="33" spans="1:20" x14ac:dyDescent="0.2">
      <c r="A33" s="211" t="s">
        <v>388</v>
      </c>
      <c r="B33" s="214" t="s">
        <v>119</v>
      </c>
      <c r="C33" s="24">
        <v>1000</v>
      </c>
      <c r="D33" s="22">
        <v>7</v>
      </c>
      <c r="E33" s="24">
        <v>1000</v>
      </c>
      <c r="F33" s="19">
        <v>1000</v>
      </c>
      <c r="G33" s="23">
        <v>14.97</v>
      </c>
      <c r="H33" s="23">
        <v>1000</v>
      </c>
      <c r="I33" s="23">
        <v>16.8</v>
      </c>
      <c r="J33" s="23">
        <v>1000</v>
      </c>
      <c r="K33" s="213">
        <v>136.88999999999999</v>
      </c>
      <c r="L33" s="23">
        <v>750</v>
      </c>
      <c r="M33" s="23">
        <v>750</v>
      </c>
      <c r="N33" s="213">
        <v>173.86</v>
      </c>
      <c r="O33" s="23">
        <v>750</v>
      </c>
      <c r="P33" s="248">
        <v>750</v>
      </c>
      <c r="Q33" s="305"/>
      <c r="R33" s="369">
        <v>34.18</v>
      </c>
      <c r="S33" s="23">
        <v>750</v>
      </c>
      <c r="T33" s="671">
        <v>750</v>
      </c>
    </row>
    <row r="34" spans="1:20" x14ac:dyDescent="0.2">
      <c r="A34" s="211" t="s">
        <v>389</v>
      </c>
      <c r="B34" s="214" t="s">
        <v>260</v>
      </c>
      <c r="C34" s="24">
        <v>1500</v>
      </c>
      <c r="D34" s="22">
        <v>0</v>
      </c>
      <c r="E34" s="24">
        <v>1500</v>
      </c>
      <c r="F34" s="19">
        <v>1500</v>
      </c>
      <c r="G34" s="23">
        <v>326.48</v>
      </c>
      <c r="H34" s="23">
        <v>1500</v>
      </c>
      <c r="I34" s="23">
        <v>159.25</v>
      </c>
      <c r="J34" s="23">
        <v>1500</v>
      </c>
      <c r="K34" s="213">
        <v>309.63</v>
      </c>
      <c r="L34" s="23">
        <v>1500</v>
      </c>
      <c r="M34" s="23">
        <v>2000</v>
      </c>
      <c r="N34" s="213">
        <v>165.95</v>
      </c>
      <c r="O34" s="23">
        <v>2000</v>
      </c>
      <c r="P34" s="248">
        <v>2000</v>
      </c>
      <c r="Q34" s="305"/>
      <c r="R34" s="369">
        <v>0</v>
      </c>
      <c r="S34" s="23">
        <v>2000</v>
      </c>
      <c r="T34" s="671">
        <v>2000</v>
      </c>
    </row>
    <row r="35" spans="1:20" x14ac:dyDescent="0.2">
      <c r="A35" s="211" t="s">
        <v>390</v>
      </c>
      <c r="B35" s="214" t="s">
        <v>391</v>
      </c>
      <c r="C35" s="24">
        <v>4000</v>
      </c>
      <c r="D35" s="22">
        <v>1080.67</v>
      </c>
      <c r="E35" s="24">
        <v>4000</v>
      </c>
      <c r="F35" s="19">
        <v>4000</v>
      </c>
      <c r="G35" s="23">
        <v>1155.94</v>
      </c>
      <c r="H35" s="23">
        <v>2500</v>
      </c>
      <c r="I35" s="23">
        <v>0</v>
      </c>
      <c r="J35" s="23">
        <v>2500</v>
      </c>
      <c r="K35" s="213"/>
      <c r="L35" s="23">
        <v>1500</v>
      </c>
      <c r="M35" s="23">
        <v>0</v>
      </c>
      <c r="N35" s="213">
        <v>0</v>
      </c>
      <c r="O35" s="23">
        <v>0</v>
      </c>
      <c r="P35" s="248">
        <v>0</v>
      </c>
      <c r="Q35" s="305"/>
      <c r="R35" s="369">
        <v>0</v>
      </c>
      <c r="S35" s="23">
        <v>0</v>
      </c>
      <c r="T35" s="671">
        <v>3000</v>
      </c>
    </row>
    <row r="36" spans="1:20" ht="15" x14ac:dyDescent="0.25">
      <c r="A36" s="211" t="s">
        <v>392</v>
      </c>
      <c r="B36" s="214" t="s">
        <v>1668</v>
      </c>
      <c r="C36" s="24">
        <v>2000</v>
      </c>
      <c r="D36" s="22"/>
      <c r="E36" s="24">
        <v>2000</v>
      </c>
      <c r="F36" s="19">
        <v>2000</v>
      </c>
      <c r="G36" s="23">
        <v>0</v>
      </c>
      <c r="H36" s="23">
        <v>0</v>
      </c>
      <c r="I36" s="23">
        <v>0</v>
      </c>
      <c r="J36" s="23">
        <v>0</v>
      </c>
      <c r="K36" s="213"/>
      <c r="L36" s="23">
        <v>0</v>
      </c>
      <c r="M36" s="23">
        <v>0</v>
      </c>
      <c r="N36" s="213">
        <v>0</v>
      </c>
      <c r="O36" s="23">
        <v>0</v>
      </c>
      <c r="P36" s="248">
        <v>0</v>
      </c>
      <c r="Q36" s="305"/>
      <c r="R36" s="164">
        <v>0</v>
      </c>
      <c r="S36" s="23">
        <v>0</v>
      </c>
      <c r="T36" s="671">
        <v>9710</v>
      </c>
    </row>
    <row r="37" spans="1:20" ht="15" x14ac:dyDescent="0.25">
      <c r="A37" s="211" t="s">
        <v>394</v>
      </c>
      <c r="B37" s="212" t="s">
        <v>395</v>
      </c>
      <c r="C37" s="24">
        <v>5000</v>
      </c>
      <c r="D37" s="22">
        <v>932</v>
      </c>
      <c r="E37" s="24">
        <v>5000</v>
      </c>
      <c r="F37" s="19">
        <v>5000</v>
      </c>
      <c r="G37" s="23">
        <v>526</v>
      </c>
      <c r="H37" s="23">
        <v>4000</v>
      </c>
      <c r="I37" s="23">
        <v>1440</v>
      </c>
      <c r="J37" s="23">
        <v>6000</v>
      </c>
      <c r="K37" s="213">
        <v>2329.4</v>
      </c>
      <c r="L37" s="23">
        <v>4000</v>
      </c>
      <c r="M37" s="23">
        <v>8000</v>
      </c>
      <c r="N37" s="213">
        <v>300</v>
      </c>
      <c r="O37" s="23">
        <v>8000</v>
      </c>
      <c r="P37" s="248">
        <v>8000</v>
      </c>
      <c r="Q37" s="305"/>
      <c r="R37" s="164">
        <v>320.64999999999998</v>
      </c>
      <c r="S37" s="26">
        <v>4200</v>
      </c>
      <c r="T37" s="671">
        <v>5000</v>
      </c>
    </row>
    <row r="38" spans="1:20" ht="15" x14ac:dyDescent="0.25">
      <c r="A38" s="211" t="s">
        <v>396</v>
      </c>
      <c r="B38" s="214" t="s">
        <v>397</v>
      </c>
      <c r="C38" s="24">
        <v>1950</v>
      </c>
      <c r="D38" s="184">
        <v>608.91999999999996</v>
      </c>
      <c r="E38" s="24">
        <v>1950</v>
      </c>
      <c r="F38" s="19">
        <v>1950</v>
      </c>
      <c r="G38" s="23">
        <v>524.48</v>
      </c>
      <c r="H38" s="23">
        <v>1000</v>
      </c>
      <c r="I38" s="23">
        <v>178.72</v>
      </c>
      <c r="J38" s="23">
        <v>1000</v>
      </c>
      <c r="K38" s="213"/>
      <c r="L38" s="23">
        <v>1000</v>
      </c>
      <c r="M38" s="23">
        <v>0</v>
      </c>
      <c r="N38" s="213">
        <v>0</v>
      </c>
      <c r="O38" s="23">
        <v>0</v>
      </c>
      <c r="P38" s="248">
        <v>0</v>
      </c>
      <c r="Q38" s="305"/>
      <c r="R38" s="164">
        <v>0</v>
      </c>
      <c r="S38" s="23">
        <v>0</v>
      </c>
      <c r="T38" s="671">
        <v>500</v>
      </c>
    </row>
    <row r="39" spans="1:20" ht="15" x14ac:dyDescent="0.25">
      <c r="A39" s="211" t="s">
        <v>398</v>
      </c>
      <c r="B39" s="214" t="s">
        <v>399</v>
      </c>
      <c r="C39" s="24">
        <v>1800</v>
      </c>
      <c r="D39" s="22"/>
      <c r="E39" s="24">
        <v>1800</v>
      </c>
      <c r="F39" s="210"/>
      <c r="G39" s="23"/>
      <c r="H39" s="23"/>
      <c r="I39" s="178"/>
      <c r="J39" s="23"/>
      <c r="K39" s="213"/>
      <c r="L39" s="23"/>
      <c r="M39" s="23">
        <v>0</v>
      </c>
      <c r="N39" s="213">
        <v>0</v>
      </c>
      <c r="O39" s="23">
        <v>0</v>
      </c>
      <c r="P39" s="248">
        <v>0</v>
      </c>
      <c r="Q39" s="305"/>
      <c r="R39" s="164">
        <v>0</v>
      </c>
      <c r="S39" s="23">
        <v>0</v>
      </c>
      <c r="T39" s="671">
        <v>5000</v>
      </c>
    </row>
    <row r="40" spans="1:20" ht="15" x14ac:dyDescent="0.25">
      <c r="A40" s="211" t="s">
        <v>400</v>
      </c>
      <c r="B40" s="214" t="s">
        <v>401</v>
      </c>
      <c r="C40" s="24">
        <v>0</v>
      </c>
      <c r="D40" s="22"/>
      <c r="E40" s="24">
        <v>0</v>
      </c>
      <c r="F40" s="19">
        <v>0</v>
      </c>
      <c r="G40" s="23"/>
      <c r="H40" s="23"/>
      <c r="I40" s="178"/>
      <c r="J40" s="23"/>
      <c r="K40" s="213"/>
      <c r="L40" s="23"/>
      <c r="M40" s="23">
        <v>0</v>
      </c>
      <c r="N40" s="213">
        <v>0</v>
      </c>
      <c r="O40" s="23">
        <v>0</v>
      </c>
      <c r="P40" s="248">
        <v>0</v>
      </c>
      <c r="Q40" s="305"/>
      <c r="R40" s="164">
        <v>0</v>
      </c>
      <c r="S40" s="23">
        <v>0</v>
      </c>
      <c r="T40" s="671"/>
    </row>
    <row r="41" spans="1:20" ht="15" x14ac:dyDescent="0.25">
      <c r="A41" s="211" t="s">
        <v>402</v>
      </c>
      <c r="B41" s="214" t="s">
        <v>403</v>
      </c>
      <c r="C41" s="24">
        <v>5000</v>
      </c>
      <c r="D41" s="22"/>
      <c r="E41" s="24">
        <v>5000</v>
      </c>
      <c r="F41" s="19">
        <v>5000</v>
      </c>
      <c r="G41" s="23">
        <v>3.09</v>
      </c>
      <c r="H41" s="23">
        <v>4000</v>
      </c>
      <c r="I41" s="24">
        <v>0</v>
      </c>
      <c r="J41" s="23">
        <v>4000</v>
      </c>
      <c r="K41" s="213">
        <v>0</v>
      </c>
      <c r="L41" s="23">
        <v>4000</v>
      </c>
      <c r="M41" s="23">
        <v>4000</v>
      </c>
      <c r="N41" s="213">
        <v>0</v>
      </c>
      <c r="O41" s="23">
        <v>4000</v>
      </c>
      <c r="P41" s="248">
        <v>4000</v>
      </c>
      <c r="Q41" s="305"/>
      <c r="R41" s="164">
        <v>250</v>
      </c>
      <c r="S41" s="26">
        <v>4200</v>
      </c>
      <c r="T41" s="671">
        <v>6000</v>
      </c>
    </row>
    <row r="42" spans="1:20" ht="15" x14ac:dyDescent="0.25">
      <c r="A42" s="220"/>
      <c r="B42" s="221" t="s">
        <v>169</v>
      </c>
      <c r="C42" s="186">
        <f>SUM(C4:C41)</f>
        <v>116130.19010599999</v>
      </c>
      <c r="D42" s="27">
        <f>SUM(D4:D41)</f>
        <v>45408.619999999981</v>
      </c>
      <c r="E42" s="169">
        <f>SUM(E4:E41)</f>
        <v>152211.19010599999</v>
      </c>
      <c r="F42" s="209">
        <f>SUM(F5:F41)</f>
        <v>137327.56713499999</v>
      </c>
      <c r="G42" s="4">
        <f t="shared" ref="G42:T42" si="0">SUM(G4:G41)</f>
        <v>47667.000000000007</v>
      </c>
      <c r="H42" s="4">
        <f t="shared" si="0"/>
        <v>122269.95111177998</v>
      </c>
      <c r="I42" s="24">
        <f t="shared" si="0"/>
        <v>60426.66</v>
      </c>
      <c r="J42" s="4">
        <f t="shared" si="0"/>
        <v>139156.98360000001</v>
      </c>
      <c r="K42" s="161">
        <f t="shared" si="0"/>
        <v>55920.859999999986</v>
      </c>
      <c r="L42" s="4">
        <f t="shared" si="0"/>
        <v>145323.12330500002</v>
      </c>
      <c r="M42" s="4">
        <f t="shared" si="0"/>
        <v>215600.92899999997</v>
      </c>
      <c r="N42" s="161">
        <f t="shared" si="0"/>
        <v>99519.7</v>
      </c>
      <c r="O42" s="4">
        <f t="shared" si="0"/>
        <v>201943.80549999999</v>
      </c>
      <c r="P42" s="142">
        <f t="shared" si="0"/>
        <v>222605.45100000003</v>
      </c>
      <c r="Q42" s="142">
        <f t="shared" si="0"/>
        <v>5289.75</v>
      </c>
      <c r="R42" s="142">
        <f t="shared" si="0"/>
        <v>106181.37999999998</v>
      </c>
      <c r="S42" s="4">
        <f t="shared" si="0"/>
        <v>224345.465815</v>
      </c>
      <c r="T42" s="675">
        <f t="shared" si="0"/>
        <v>228880.35067499999</v>
      </c>
    </row>
    <row r="43" spans="1:20" x14ac:dyDescent="0.2">
      <c r="A43" s="211"/>
      <c r="B43" s="214"/>
      <c r="C43" s="212"/>
      <c r="D43" s="22"/>
      <c r="E43" s="184"/>
      <c r="F43" s="210"/>
      <c r="G43" s="23"/>
      <c r="H43" s="23"/>
      <c r="I43" s="24"/>
      <c r="J43" s="23"/>
      <c r="K43" s="213"/>
      <c r="L43" s="213"/>
      <c r="M43" s="23"/>
      <c r="N43" s="213"/>
      <c r="O43" s="305"/>
      <c r="P43" s="23"/>
      <c r="Q43" s="305"/>
      <c r="R43" s="342"/>
      <c r="S43" s="23"/>
      <c r="T43" s="670"/>
    </row>
    <row r="44" spans="1:20" x14ac:dyDescent="0.2">
      <c r="A44" s="211"/>
      <c r="B44" s="214"/>
      <c r="C44" s="212"/>
      <c r="D44" s="22"/>
      <c r="E44" s="184"/>
      <c r="F44" s="210"/>
      <c r="G44" s="23"/>
      <c r="H44" s="23"/>
      <c r="I44" s="24"/>
      <c r="J44" s="23"/>
      <c r="K44" s="213"/>
      <c r="L44" s="213"/>
      <c r="M44" s="23"/>
      <c r="N44" s="213"/>
      <c r="O44" s="305"/>
      <c r="P44" s="23"/>
      <c r="Q44" s="305"/>
      <c r="R44" s="342"/>
      <c r="S44" s="23"/>
      <c r="T44" s="670"/>
    </row>
    <row r="45" spans="1:20" x14ac:dyDescent="0.2">
      <c r="A45" s="661"/>
      <c r="B45" s="662"/>
      <c r="D45" s="191"/>
      <c r="E45" s="192"/>
      <c r="G45" s="561"/>
      <c r="H45" s="561"/>
      <c r="I45" s="178"/>
    </row>
    <row r="46" spans="1:20" ht="15" x14ac:dyDescent="0.25">
      <c r="A46" s="661"/>
      <c r="B46" s="662"/>
      <c r="D46" s="193"/>
      <c r="E46" s="192"/>
      <c r="G46" s="561"/>
      <c r="H46" s="561"/>
      <c r="I46" s="178"/>
    </row>
    <row r="47" spans="1:20" x14ac:dyDescent="0.2">
      <c r="A47" s="661"/>
      <c r="B47" s="662"/>
      <c r="D47" s="191"/>
      <c r="E47" s="192"/>
    </row>
    <row r="48" spans="1:20" x14ac:dyDescent="0.2">
      <c r="A48" s="661"/>
      <c r="B48" s="662"/>
      <c r="D48" s="191"/>
      <c r="E48" s="192"/>
    </row>
    <row r="49" spans="4:5" x14ac:dyDescent="0.2">
      <c r="D49" s="191"/>
      <c r="E49" s="192"/>
    </row>
    <row r="50" spans="4:5" ht="15" x14ac:dyDescent="0.25">
      <c r="D50" s="194"/>
      <c r="E50" s="192"/>
    </row>
    <row r="51" spans="4:5" ht="15" x14ac:dyDescent="0.25">
      <c r="D51" s="194"/>
      <c r="E51" s="192"/>
    </row>
    <row r="52" spans="4:5" x14ac:dyDescent="0.2">
      <c r="D52" s="191"/>
      <c r="E52" s="192"/>
    </row>
    <row r="53" spans="4:5" x14ac:dyDescent="0.2">
      <c r="D53" s="195"/>
      <c r="E53" s="192"/>
    </row>
    <row r="54" spans="4:5" x14ac:dyDescent="0.2">
      <c r="D54" s="191"/>
      <c r="E54" s="192"/>
    </row>
    <row r="55" spans="4:5" x14ac:dyDescent="0.2">
      <c r="D55" s="191"/>
      <c r="E55" s="192"/>
    </row>
    <row r="56" spans="4:5" x14ac:dyDescent="0.2">
      <c r="D56" s="191"/>
      <c r="E56" s="192"/>
    </row>
    <row r="57" spans="4:5" x14ac:dyDescent="0.2">
      <c r="D57" s="191"/>
      <c r="E57" s="192"/>
    </row>
    <row r="58" spans="4:5" x14ac:dyDescent="0.2">
      <c r="D58" s="191"/>
      <c r="E58" s="192"/>
    </row>
    <row r="59" spans="4:5" x14ac:dyDescent="0.2">
      <c r="D59" s="191"/>
      <c r="E59" s="192"/>
    </row>
    <row r="60" spans="4:5" x14ac:dyDescent="0.2">
      <c r="D60" s="191"/>
      <c r="E60" s="192"/>
    </row>
    <row r="61" spans="4:5" x14ac:dyDescent="0.2">
      <c r="D61" s="191"/>
      <c r="E61" s="192"/>
    </row>
    <row r="62" spans="4:5" x14ac:dyDescent="0.2">
      <c r="D62" s="191"/>
      <c r="E62" s="192"/>
    </row>
    <row r="63" spans="4:5" x14ac:dyDescent="0.2">
      <c r="D63" s="191"/>
      <c r="E63" s="192"/>
    </row>
    <row r="64" spans="4:5" x14ac:dyDescent="0.2">
      <c r="D64" s="191"/>
      <c r="E64" s="192"/>
    </row>
    <row r="65" spans="4:5" x14ac:dyDescent="0.2">
      <c r="D65" s="191"/>
      <c r="E65" s="192"/>
    </row>
    <row r="66" spans="4:5" x14ac:dyDescent="0.2">
      <c r="D66" s="191"/>
      <c r="E66" s="192"/>
    </row>
    <row r="67" spans="4:5" x14ac:dyDescent="0.2">
      <c r="D67" s="192"/>
      <c r="E67" s="192"/>
    </row>
    <row r="68" spans="4:5" x14ac:dyDescent="0.2">
      <c r="D68" s="192"/>
      <c r="E68" s="192"/>
    </row>
    <row r="69" spans="4:5" x14ac:dyDescent="0.2">
      <c r="D69" s="192"/>
      <c r="E69" s="192"/>
    </row>
    <row r="70" spans="4:5" x14ac:dyDescent="0.2">
      <c r="D70" s="192"/>
      <c r="E70" s="192"/>
    </row>
    <row r="71" spans="4:5" x14ac:dyDescent="0.2">
      <c r="D71" s="192"/>
      <c r="E71" s="192"/>
    </row>
    <row r="72" spans="4:5" x14ac:dyDescent="0.2">
      <c r="D72" s="192"/>
      <c r="E72" s="192"/>
    </row>
    <row r="73" spans="4:5" x14ac:dyDescent="0.2">
      <c r="D73" s="192"/>
      <c r="E73" s="192"/>
    </row>
  </sheetData>
  <phoneticPr fontId="24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73"/>
  <sheetViews>
    <sheetView zoomScale="98" zoomScaleNormal="98" workbookViewId="0">
      <selection activeCell="T4" sqref="T4"/>
    </sheetView>
  </sheetViews>
  <sheetFormatPr defaultColWidth="13" defaultRowHeight="14.25" x14ac:dyDescent="0.2"/>
  <cols>
    <col min="1" max="1" width="13" style="189"/>
    <col min="2" max="2" width="29.75" style="190" customWidth="1"/>
    <col min="3" max="5" width="0" style="54" hidden="1" customWidth="1"/>
    <col min="6" max="6" width="0" style="46" hidden="1" customWidth="1"/>
    <col min="7" max="11" width="0" hidden="1" customWidth="1"/>
    <col min="12" max="12" width="12.5" hidden="1" customWidth="1"/>
    <col min="13" max="13" width="12.75" hidden="1" customWidth="1"/>
    <col min="14" max="14" width="12.375" hidden="1" customWidth="1"/>
    <col min="15" max="15" width="12.75" hidden="1" customWidth="1"/>
    <col min="16" max="16" width="12.375" style="46" hidden="1" customWidth="1"/>
    <col min="17" max="17" width="10.375" hidden="1" customWidth="1"/>
    <col min="18" max="18" width="0" hidden="1" customWidth="1"/>
    <col min="19" max="19" width="0" style="46" hidden="1" customWidth="1"/>
  </cols>
  <sheetData>
    <row r="1" spans="1:20" x14ac:dyDescent="0.2">
      <c r="A1" s="181"/>
      <c r="B1" s="54"/>
      <c r="P1" s="3"/>
      <c r="Q1" s="2"/>
    </row>
    <row r="2" spans="1:20" ht="60" x14ac:dyDescent="0.25">
      <c r="A2" s="55"/>
      <c r="B2" s="56" t="s">
        <v>9</v>
      </c>
      <c r="C2" s="182" t="s">
        <v>207</v>
      </c>
      <c r="D2" s="19" t="s">
        <v>208</v>
      </c>
      <c r="E2" s="183" t="s">
        <v>404</v>
      </c>
      <c r="F2" s="20" t="s">
        <v>349</v>
      </c>
      <c r="G2" s="352" t="s">
        <v>405</v>
      </c>
      <c r="H2" s="352" t="s">
        <v>210</v>
      </c>
      <c r="I2" s="143" t="s">
        <v>406</v>
      </c>
      <c r="J2" s="143" t="s">
        <v>213</v>
      </c>
      <c r="K2" s="47" t="s">
        <v>1351</v>
      </c>
      <c r="L2" s="47" t="s">
        <v>1352</v>
      </c>
      <c r="M2" s="143" t="s">
        <v>1495</v>
      </c>
      <c r="N2" s="47" t="s">
        <v>1494</v>
      </c>
      <c r="O2" s="162" t="s">
        <v>1517</v>
      </c>
      <c r="P2" s="47" t="s">
        <v>1569</v>
      </c>
      <c r="Q2" s="2"/>
      <c r="R2" s="143" t="s">
        <v>1568</v>
      </c>
      <c r="S2" s="418" t="s">
        <v>1634</v>
      </c>
      <c r="T2" s="418" t="s">
        <v>1686</v>
      </c>
    </row>
    <row r="3" spans="1:20" x14ac:dyDescent="0.2">
      <c r="A3" s="389"/>
      <c r="B3" s="390"/>
      <c r="C3" s="390"/>
      <c r="D3" s="391"/>
      <c r="E3" s="392"/>
      <c r="F3" s="42"/>
      <c r="G3" s="44"/>
      <c r="H3" s="44"/>
      <c r="I3" s="42"/>
      <c r="J3" s="42"/>
      <c r="K3" s="155"/>
      <c r="L3" s="155"/>
      <c r="M3" s="44"/>
      <c r="N3" s="155"/>
      <c r="O3" s="328"/>
      <c r="P3" s="42"/>
      <c r="Q3" s="44"/>
      <c r="R3" s="301"/>
      <c r="S3" s="247"/>
      <c r="T3" s="2"/>
    </row>
    <row r="4" spans="1:20" x14ac:dyDescent="0.2">
      <c r="A4" s="389" t="s">
        <v>407</v>
      </c>
      <c r="B4" s="393" t="s">
        <v>9</v>
      </c>
      <c r="C4" s="394">
        <v>30620.15</v>
      </c>
      <c r="D4" s="391">
        <v>15310.08</v>
      </c>
      <c r="E4" s="391">
        <v>32120.15</v>
      </c>
      <c r="F4" s="391">
        <v>32120.15</v>
      </c>
      <c r="G4" s="42">
        <v>16060.08</v>
      </c>
      <c r="H4" s="42">
        <v>33726.239999999998</v>
      </c>
      <c r="I4" s="42">
        <v>16541.88</v>
      </c>
      <c r="J4" s="42">
        <v>34737.94</v>
      </c>
      <c r="K4" s="155">
        <v>17094.96</v>
      </c>
      <c r="L4" s="155">
        <v>35098.559999999998</v>
      </c>
      <c r="M4" s="243">
        <v>37800</v>
      </c>
      <c r="N4" s="155">
        <v>18318.36</v>
      </c>
      <c r="O4" s="328">
        <v>39690</v>
      </c>
      <c r="P4" s="395">
        <v>40800</v>
      </c>
      <c r="Q4" s="243">
        <f>SUM(P4-M4)</f>
        <v>3000</v>
      </c>
      <c r="R4" s="301">
        <v>21184.6</v>
      </c>
      <c r="S4" s="247">
        <f>SUM(P$4*1.03)</f>
        <v>42024</v>
      </c>
      <c r="T4" s="42">
        <v>44125.2</v>
      </c>
    </row>
    <row r="5" spans="1:20" x14ac:dyDescent="0.2">
      <c r="A5" s="389" t="s">
        <v>408</v>
      </c>
      <c r="B5" s="390" t="s">
        <v>274</v>
      </c>
      <c r="C5" s="394">
        <v>24157.119999999999</v>
      </c>
      <c r="D5" s="391">
        <v>12072.54</v>
      </c>
      <c r="E5" s="391">
        <v>25657.119999999999</v>
      </c>
      <c r="F5" s="391">
        <v>25657.119999999999</v>
      </c>
      <c r="G5" s="42">
        <v>12700.21</v>
      </c>
      <c r="H5" s="42">
        <v>26940</v>
      </c>
      <c r="I5" s="42">
        <v>13820.22</v>
      </c>
      <c r="J5" s="42">
        <v>27748.17</v>
      </c>
      <c r="K5" s="155">
        <v>13599.07</v>
      </c>
      <c r="L5" s="155">
        <v>28036.23</v>
      </c>
      <c r="M5" s="243">
        <v>30597</v>
      </c>
      <c r="N5" s="155">
        <v>13887.86</v>
      </c>
      <c r="O5" s="328">
        <v>32126.85</v>
      </c>
      <c r="P5" s="395">
        <v>32097</v>
      </c>
      <c r="Q5" s="243">
        <f>SUM(P5-M5)</f>
        <v>1500</v>
      </c>
      <c r="R5" s="299">
        <v>14161.46</v>
      </c>
      <c r="S5" s="247">
        <f>SUM(P$5*1.03)</f>
        <v>33059.910000000003</v>
      </c>
      <c r="T5" s="42">
        <v>34051.71</v>
      </c>
    </row>
    <row r="6" spans="1:20" x14ac:dyDescent="0.2">
      <c r="A6" s="389" t="s">
        <v>409</v>
      </c>
      <c r="B6" s="390" t="s">
        <v>410</v>
      </c>
      <c r="C6" s="396">
        <v>6308.64</v>
      </c>
      <c r="D6" s="391">
        <v>3336.99</v>
      </c>
      <c r="E6" s="391">
        <v>6755.32</v>
      </c>
      <c r="F6" s="391">
        <v>6755.32</v>
      </c>
      <c r="G6" s="42">
        <v>3503.44</v>
      </c>
      <c r="H6" s="42">
        <v>7093.2</v>
      </c>
      <c r="I6" s="42">
        <v>3403.37</v>
      </c>
      <c r="J6" s="42">
        <v>7305.88</v>
      </c>
      <c r="K6" s="155">
        <v>3424.63</v>
      </c>
      <c r="L6" s="155">
        <v>8003.84</v>
      </c>
      <c r="M6" s="243">
        <v>10361</v>
      </c>
      <c r="N6" s="155">
        <v>4649.41</v>
      </c>
      <c r="O6" s="328">
        <v>11189.36</v>
      </c>
      <c r="P6" s="395">
        <v>11361</v>
      </c>
      <c r="Q6" s="243">
        <f>SUM(P6-M6)</f>
        <v>1000</v>
      </c>
      <c r="R6" s="299">
        <v>5115.6099999999997</v>
      </c>
      <c r="S6" s="602">
        <v>20001.830000000002</v>
      </c>
      <c r="T6" s="121">
        <f>SUM(S$6*1.05)</f>
        <v>21001.921500000004</v>
      </c>
    </row>
    <row r="7" spans="1:20" x14ac:dyDescent="0.2">
      <c r="A7" s="389" t="s">
        <v>411</v>
      </c>
      <c r="B7" s="390" t="s">
        <v>220</v>
      </c>
      <c r="C7" s="394">
        <v>1930</v>
      </c>
      <c r="D7" s="391">
        <v>960</v>
      </c>
      <c r="E7" s="391">
        <v>2252.5</v>
      </c>
      <c r="F7" s="391">
        <v>1987.5</v>
      </c>
      <c r="G7" s="42">
        <v>1102.5</v>
      </c>
      <c r="H7" s="42">
        <v>2107.5</v>
      </c>
      <c r="I7" s="42">
        <v>1122.5</v>
      </c>
      <c r="J7" s="42">
        <v>1610</v>
      </c>
      <c r="K7" s="155">
        <v>802.5</v>
      </c>
      <c r="L7" s="155">
        <v>1672.5</v>
      </c>
      <c r="M7" s="155">
        <v>935</v>
      </c>
      <c r="N7" s="155">
        <v>547.5</v>
      </c>
      <c r="O7" s="328">
        <v>1162.5</v>
      </c>
      <c r="P7" s="328">
        <v>1162.5</v>
      </c>
      <c r="Q7" s="44"/>
      <c r="R7" s="300">
        <v>612.5</v>
      </c>
      <c r="S7" s="602">
        <v>1262.45</v>
      </c>
      <c r="T7" s="121">
        <v>510</v>
      </c>
    </row>
    <row r="8" spans="1:20" x14ac:dyDescent="0.2">
      <c r="A8" s="389" t="s">
        <v>412</v>
      </c>
      <c r="B8" s="390" t="s">
        <v>226</v>
      </c>
      <c r="C8" s="394">
        <v>265</v>
      </c>
      <c r="D8" s="391">
        <v>117.52</v>
      </c>
      <c r="E8" s="391">
        <v>350</v>
      </c>
      <c r="F8" s="42">
        <v>350</v>
      </c>
      <c r="G8" s="42">
        <v>121.53</v>
      </c>
      <c r="H8" s="42"/>
      <c r="I8" s="42">
        <v>129.62</v>
      </c>
      <c r="J8" s="42">
        <v>367.5</v>
      </c>
      <c r="K8" s="155">
        <v>119.53</v>
      </c>
      <c r="L8" s="155">
        <v>367.5</v>
      </c>
      <c r="M8" s="155">
        <v>450</v>
      </c>
      <c r="N8" s="155">
        <v>87.8</v>
      </c>
      <c r="O8" s="42">
        <v>350</v>
      </c>
      <c r="P8" s="42">
        <v>350</v>
      </c>
      <c r="Q8" s="44"/>
      <c r="R8" s="300">
        <v>111.08</v>
      </c>
      <c r="S8" s="602"/>
      <c r="T8" s="121"/>
    </row>
    <row r="9" spans="1:20" x14ac:dyDescent="0.2">
      <c r="A9" s="389" t="s">
        <v>413</v>
      </c>
      <c r="B9" s="390" t="s">
        <v>228</v>
      </c>
      <c r="C9" s="394">
        <f>SUM($C$4:$C7)*0.1262</f>
        <v>7952.6078420000013</v>
      </c>
      <c r="D9" s="391">
        <v>3866.54</v>
      </c>
      <c r="E9" s="394">
        <f>SUM($E$4:$E7)*0.1262</f>
        <v>8428.2783579999996</v>
      </c>
      <c r="F9" s="394">
        <f>SUM($E$4:$E7)*0.129</f>
        <v>8615.276609999999</v>
      </c>
      <c r="G9" s="42">
        <v>4181.6899999999996</v>
      </c>
      <c r="H9" s="42"/>
      <c r="I9" s="42">
        <v>4249.43</v>
      </c>
      <c r="J9" s="42">
        <f>SUM($J$4:$J$7)*0.12</f>
        <v>8568.238800000001</v>
      </c>
      <c r="K9" s="155">
        <v>4113.79</v>
      </c>
      <c r="L9" s="247">
        <f>SUM(L$4:L$7)*0.12</f>
        <v>8737.3355999999985</v>
      </c>
      <c r="M9" s="42">
        <v>8845.92</v>
      </c>
      <c r="N9" s="155">
        <v>4155.68</v>
      </c>
      <c r="O9" s="42">
        <f>SUM(O$4:O$7)*0.099</f>
        <v>8332.7022900000011</v>
      </c>
      <c r="P9" s="42">
        <f>SUM(P$4:P$7)*0.099</f>
        <v>8456.6295000000009</v>
      </c>
      <c r="Q9" s="42">
        <f>SUM(Q$4:Q$7)*0.099</f>
        <v>544.5</v>
      </c>
      <c r="R9" s="301">
        <v>4380.74</v>
      </c>
      <c r="S9" s="602">
        <f>SUM(S$4:S$7)*0.095</f>
        <v>9153.0780500000001</v>
      </c>
      <c r="T9" s="121">
        <f>SUM(T$4:T$7)*0.085</f>
        <v>8473.5506775000013</v>
      </c>
    </row>
    <row r="10" spans="1:20" x14ac:dyDescent="0.2">
      <c r="A10" s="389" t="s">
        <v>414</v>
      </c>
      <c r="B10" s="390" t="s">
        <v>230</v>
      </c>
      <c r="C10" s="394">
        <f>SUM($C$4:$C8)*0.0145</f>
        <v>917.57319500000006</v>
      </c>
      <c r="D10" s="391">
        <v>428.07</v>
      </c>
      <c r="E10" s="394">
        <f>SUM($E$4:$E8)*0.0145</f>
        <v>973.45880499999998</v>
      </c>
      <c r="F10" s="394">
        <f>SUM($E$4:$E8)*0.0145</f>
        <v>973.45880499999998</v>
      </c>
      <c r="G10" s="42">
        <v>458.15</v>
      </c>
      <c r="H10" s="42">
        <v>1013.07</v>
      </c>
      <c r="I10" s="42">
        <v>468.1</v>
      </c>
      <c r="J10" s="42">
        <f>SUM($J$4:$J$7)*0.0145</f>
        <v>1035.3288550000002</v>
      </c>
      <c r="K10" s="155">
        <v>494.44</v>
      </c>
      <c r="L10" s="247">
        <f>SUM(L$4:L$7)*0.0145</f>
        <v>1055.761385</v>
      </c>
      <c r="M10" s="42">
        <v>1155.55</v>
      </c>
      <c r="N10" s="155">
        <v>518.55999999999995</v>
      </c>
      <c r="O10" s="42">
        <f>SUM(O$4:O$9)*0.0145</f>
        <v>1346.3454782050003</v>
      </c>
      <c r="P10" s="42">
        <f>SUM(P$4:P$9)*0.0145</f>
        <v>1366.29337775</v>
      </c>
      <c r="Q10" s="42">
        <f>SUM(Q$4:Q$9)*0.0145</f>
        <v>87.645250000000004</v>
      </c>
      <c r="R10" s="300">
        <v>610.64</v>
      </c>
      <c r="S10" s="602">
        <f>SUM(S$4:S$7)*0.0145</f>
        <v>1397.048755</v>
      </c>
      <c r="T10" s="121">
        <f>SUM(T$4:T$7)*0.0145</f>
        <v>1445.4880567500002</v>
      </c>
    </row>
    <row r="11" spans="1:20" x14ac:dyDescent="0.2">
      <c r="A11" s="389" t="s">
        <v>415</v>
      </c>
      <c r="B11" s="390" t="s">
        <v>232</v>
      </c>
      <c r="C11" s="394">
        <f>SUM($C$4:$C9)*0.062</f>
        <v>4416.4781062040001</v>
      </c>
      <c r="D11" s="391">
        <v>1830.19</v>
      </c>
      <c r="E11" s="394">
        <f>SUM($E$4:$E9)*0.062</f>
        <v>4684.9288381959996</v>
      </c>
      <c r="F11" s="394">
        <f>SUM($E$4:$E7)*0.062</f>
        <v>4140.6755800000001</v>
      </c>
      <c r="G11" s="42">
        <v>1958.67</v>
      </c>
      <c r="H11" s="42">
        <v>4331.75</v>
      </c>
      <c r="I11" s="42">
        <v>2001.24</v>
      </c>
      <c r="J11" s="42">
        <f>SUM($J$4:$J$7)*0.062</f>
        <v>4426.9233800000002</v>
      </c>
      <c r="K11" s="155">
        <v>2113.9</v>
      </c>
      <c r="L11" s="247">
        <f>SUM(L$4:L$7)*0.062</f>
        <v>4514.2900599999994</v>
      </c>
      <c r="M11" s="42">
        <v>4940.97</v>
      </c>
      <c r="N11" s="155">
        <v>2217.36</v>
      </c>
      <c r="O11" s="42">
        <f>SUM(O$5:O$10)*0.062</f>
        <v>3379.4809816287102</v>
      </c>
      <c r="P11" s="42">
        <f>SUM(P$5:P$10)*0.062</f>
        <v>3397.1922184205</v>
      </c>
      <c r="Q11" s="42">
        <f>SUM(Q$5:Q$10)*0.062</f>
        <v>194.1930055</v>
      </c>
      <c r="R11" s="300">
        <v>2611.25</v>
      </c>
      <c r="S11" s="602">
        <f>SUM(S$5:S$7)*0.062</f>
        <v>3368.09978</v>
      </c>
      <c r="T11" s="121">
        <f>SUM(T$5:T$7)*0.062</f>
        <v>3444.9451530000001</v>
      </c>
    </row>
    <row r="12" spans="1:20" x14ac:dyDescent="0.2">
      <c r="A12" s="389" t="s">
        <v>416</v>
      </c>
      <c r="B12" s="390" t="s">
        <v>234</v>
      </c>
      <c r="C12" s="394">
        <v>15805.44</v>
      </c>
      <c r="D12" s="391">
        <v>9219.84</v>
      </c>
      <c r="E12" s="391">
        <v>16975.042560000002</v>
      </c>
      <c r="F12" s="42">
        <v>16975.042560000002</v>
      </c>
      <c r="G12" s="42">
        <v>8487.36</v>
      </c>
      <c r="H12" s="42"/>
      <c r="I12" s="42">
        <v>9496</v>
      </c>
      <c r="J12" s="42">
        <v>18596.96</v>
      </c>
      <c r="K12" s="155">
        <v>10073.18</v>
      </c>
      <c r="L12" s="247">
        <v>18596.96</v>
      </c>
      <c r="M12" s="42">
        <v>21260</v>
      </c>
      <c r="N12" s="155">
        <v>11500.32</v>
      </c>
      <c r="O12" s="37">
        <v>22611.360000000001</v>
      </c>
      <c r="P12" s="37">
        <v>22611.35</v>
      </c>
      <c r="Q12" s="44"/>
      <c r="R12" s="300">
        <v>12247.82</v>
      </c>
      <c r="S12" s="602">
        <v>24216.04</v>
      </c>
      <c r="T12" s="121">
        <v>25524.48</v>
      </c>
    </row>
    <row r="13" spans="1:20" x14ac:dyDescent="0.2">
      <c r="A13" s="389" t="s">
        <v>417</v>
      </c>
      <c r="B13" s="390" t="s">
        <v>236</v>
      </c>
      <c r="C13" s="390"/>
      <c r="D13" s="391">
        <v>0</v>
      </c>
      <c r="E13" s="391"/>
      <c r="F13" s="42"/>
      <c r="G13" s="42">
        <v>0</v>
      </c>
      <c r="H13" s="42"/>
      <c r="I13" s="42">
        <v>0</v>
      </c>
      <c r="J13" s="42"/>
      <c r="K13" s="155">
        <v>0</v>
      </c>
      <c r="L13" s="155"/>
      <c r="M13" s="44">
        <v>0</v>
      </c>
      <c r="N13" s="155">
        <v>0</v>
      </c>
      <c r="O13" s="328"/>
      <c r="P13" s="42"/>
      <c r="Q13" s="44"/>
      <c r="R13" s="300">
        <v>0</v>
      </c>
      <c r="S13" s="602"/>
      <c r="T13" s="121"/>
    </row>
    <row r="14" spans="1:20" x14ac:dyDescent="0.2">
      <c r="A14" s="389" t="s">
        <v>1578</v>
      </c>
      <c r="B14" s="390" t="s">
        <v>1571</v>
      </c>
      <c r="C14" s="390"/>
      <c r="D14" s="391"/>
      <c r="E14" s="391"/>
      <c r="F14" s="42"/>
      <c r="G14" s="42"/>
      <c r="H14" s="42"/>
      <c r="I14" s="42"/>
      <c r="J14" s="42"/>
      <c r="K14" s="155"/>
      <c r="L14" s="155"/>
      <c r="M14" s="44"/>
      <c r="N14" s="155"/>
      <c r="O14" s="328"/>
      <c r="P14" s="247">
        <v>0</v>
      </c>
      <c r="Q14" s="44"/>
      <c r="R14" s="300">
        <v>952.88</v>
      </c>
      <c r="S14" s="602"/>
      <c r="T14" s="121"/>
    </row>
    <row r="15" spans="1:20" x14ac:dyDescent="0.2">
      <c r="A15" s="389" t="s">
        <v>418</v>
      </c>
      <c r="B15" s="390" t="s">
        <v>285</v>
      </c>
      <c r="C15" s="394">
        <v>2600</v>
      </c>
      <c r="D15" s="391">
        <v>1993.1</v>
      </c>
      <c r="E15" s="397">
        <v>3000</v>
      </c>
      <c r="F15" s="398">
        <v>3000</v>
      </c>
      <c r="G15" s="42">
        <v>1312.96</v>
      </c>
      <c r="H15" s="42">
        <v>3000</v>
      </c>
      <c r="I15" s="42">
        <v>1194.4100000000001</v>
      </c>
      <c r="J15" s="42">
        <v>3000</v>
      </c>
      <c r="K15" s="155">
        <v>1386.93</v>
      </c>
      <c r="L15" s="155">
        <v>3000</v>
      </c>
      <c r="M15" s="155">
        <v>4000</v>
      </c>
      <c r="N15" s="155">
        <v>591.66999999999996</v>
      </c>
      <c r="O15" s="328">
        <v>4000</v>
      </c>
      <c r="P15" s="328">
        <v>4000</v>
      </c>
      <c r="Q15" s="44"/>
      <c r="R15" s="300">
        <v>829.21</v>
      </c>
      <c r="S15" s="328">
        <v>3000</v>
      </c>
      <c r="T15" s="155">
        <v>3000</v>
      </c>
    </row>
    <row r="16" spans="1:20" x14ac:dyDescent="0.2">
      <c r="A16" s="389" t="s">
        <v>419</v>
      </c>
      <c r="B16" s="390" t="s">
        <v>242</v>
      </c>
      <c r="C16" s="394">
        <v>1300</v>
      </c>
      <c r="D16" s="391">
        <v>546.17999999999995</v>
      </c>
      <c r="E16" s="391">
        <v>1300</v>
      </c>
      <c r="F16" s="391">
        <v>1300</v>
      </c>
      <c r="G16" s="42">
        <v>592.62</v>
      </c>
      <c r="H16" s="42">
        <v>1300</v>
      </c>
      <c r="I16" s="42">
        <v>606.85</v>
      </c>
      <c r="J16" s="42">
        <v>1300</v>
      </c>
      <c r="K16" s="155">
        <v>635.23</v>
      </c>
      <c r="L16" s="155">
        <v>1300</v>
      </c>
      <c r="M16" s="155">
        <v>1300</v>
      </c>
      <c r="N16" s="155">
        <v>575.84</v>
      </c>
      <c r="O16" s="328">
        <v>1500</v>
      </c>
      <c r="P16" s="328">
        <v>1500</v>
      </c>
      <c r="Q16" s="44"/>
      <c r="R16" s="300">
        <v>460.4</v>
      </c>
      <c r="S16" s="328">
        <v>1500</v>
      </c>
      <c r="T16" s="155">
        <v>1500</v>
      </c>
    </row>
    <row r="17" spans="1:20" x14ac:dyDescent="0.2">
      <c r="A17" s="389" t="s">
        <v>420</v>
      </c>
      <c r="B17" s="390" t="s">
        <v>244</v>
      </c>
      <c r="C17" s="394"/>
      <c r="D17" s="391"/>
      <c r="E17" s="391"/>
      <c r="F17" s="391"/>
      <c r="G17" s="42">
        <v>0</v>
      </c>
      <c r="H17" s="42"/>
      <c r="I17" s="42">
        <v>0</v>
      </c>
      <c r="J17" s="42"/>
      <c r="K17" s="155">
        <v>0</v>
      </c>
      <c r="L17" s="155"/>
      <c r="M17" s="155">
        <v>0</v>
      </c>
      <c r="N17" s="155">
        <v>0</v>
      </c>
      <c r="O17" s="328"/>
      <c r="P17" s="328"/>
      <c r="Q17" s="44"/>
      <c r="R17" s="300">
        <v>0</v>
      </c>
      <c r="S17" s="328"/>
      <c r="T17" s="155"/>
    </row>
    <row r="18" spans="1:20" x14ac:dyDescent="0.2">
      <c r="A18" s="389" t="s">
        <v>421</v>
      </c>
      <c r="B18" s="390" t="s">
        <v>422</v>
      </c>
      <c r="C18" s="394">
        <v>1360</v>
      </c>
      <c r="D18" s="391">
        <v>630</v>
      </c>
      <c r="E18" s="391">
        <v>1360</v>
      </c>
      <c r="F18" s="391">
        <v>1360</v>
      </c>
      <c r="G18" s="42">
        <v>630</v>
      </c>
      <c r="H18" s="42">
        <v>1360</v>
      </c>
      <c r="I18" s="42">
        <v>525</v>
      </c>
      <c r="J18" s="42">
        <v>1360</v>
      </c>
      <c r="K18" s="155">
        <v>735</v>
      </c>
      <c r="L18" s="155">
        <v>1360</v>
      </c>
      <c r="M18" s="155">
        <v>1500</v>
      </c>
      <c r="N18" s="155">
        <v>439.18</v>
      </c>
      <c r="O18" s="328">
        <v>1500</v>
      </c>
      <c r="P18" s="328">
        <v>1500</v>
      </c>
      <c r="Q18" s="44"/>
      <c r="R18" s="300">
        <v>709.67</v>
      </c>
      <c r="S18" s="328">
        <v>1500</v>
      </c>
      <c r="T18" s="155">
        <v>1500</v>
      </c>
    </row>
    <row r="19" spans="1:20" x14ac:dyDescent="0.2">
      <c r="A19" s="389" t="s">
        <v>423</v>
      </c>
      <c r="B19" s="390" t="s">
        <v>424</v>
      </c>
      <c r="C19" s="394"/>
      <c r="D19" s="391"/>
      <c r="E19" s="391"/>
      <c r="F19" s="391"/>
      <c r="G19" s="42">
        <v>0</v>
      </c>
      <c r="H19" s="42"/>
      <c r="I19" s="42">
        <v>0</v>
      </c>
      <c r="J19" s="42"/>
      <c r="K19" s="155"/>
      <c r="L19" s="155"/>
      <c r="M19" s="155">
        <v>0</v>
      </c>
      <c r="N19" s="155">
        <v>0</v>
      </c>
      <c r="O19" s="328"/>
      <c r="P19" s="328"/>
      <c r="Q19" s="44"/>
      <c r="R19" s="300">
        <v>0</v>
      </c>
      <c r="S19" s="328"/>
      <c r="T19" s="155"/>
    </row>
    <row r="20" spans="1:20" x14ac:dyDescent="0.2">
      <c r="A20" s="389" t="s">
        <v>425</v>
      </c>
      <c r="B20" s="390" t="s">
        <v>248</v>
      </c>
      <c r="C20" s="394">
        <v>550</v>
      </c>
      <c r="D20" s="391">
        <v>0</v>
      </c>
      <c r="E20" s="391">
        <v>550</v>
      </c>
      <c r="F20" s="391">
        <v>550</v>
      </c>
      <c r="G20" s="42">
        <v>177.5</v>
      </c>
      <c r="H20" s="42">
        <v>550</v>
      </c>
      <c r="I20" s="42">
        <v>0</v>
      </c>
      <c r="J20" s="42">
        <v>550</v>
      </c>
      <c r="K20" s="155">
        <v>0</v>
      </c>
      <c r="L20" s="155">
        <v>550</v>
      </c>
      <c r="M20" s="155">
        <v>550</v>
      </c>
      <c r="N20" s="155">
        <v>0</v>
      </c>
      <c r="O20" s="328">
        <v>550</v>
      </c>
      <c r="P20" s="328">
        <v>550</v>
      </c>
      <c r="Q20" s="44"/>
      <c r="R20" s="300">
        <v>0</v>
      </c>
      <c r="S20" s="328">
        <v>550</v>
      </c>
      <c r="T20" s="155">
        <v>550</v>
      </c>
    </row>
    <row r="21" spans="1:20" x14ac:dyDescent="0.2">
      <c r="A21" s="389" t="s">
        <v>426</v>
      </c>
      <c r="B21" s="390" t="s">
        <v>250</v>
      </c>
      <c r="C21" s="394">
        <v>3000</v>
      </c>
      <c r="D21" s="391">
        <v>625</v>
      </c>
      <c r="E21" s="391">
        <v>3000</v>
      </c>
      <c r="F21" s="391">
        <v>3000</v>
      </c>
      <c r="G21" s="42">
        <v>827.1</v>
      </c>
      <c r="H21" s="42">
        <v>3000</v>
      </c>
      <c r="I21" s="42">
        <v>1207.22</v>
      </c>
      <c r="J21" s="42">
        <v>3000</v>
      </c>
      <c r="K21" s="155">
        <v>820</v>
      </c>
      <c r="L21" s="155">
        <v>3000</v>
      </c>
      <c r="M21" s="155">
        <v>3000</v>
      </c>
      <c r="N21" s="155">
        <v>1325.78</v>
      </c>
      <c r="O21" s="328">
        <v>3500</v>
      </c>
      <c r="P21" s="328">
        <v>3500</v>
      </c>
      <c r="Q21" s="44"/>
      <c r="R21" s="300">
        <v>1020.2</v>
      </c>
      <c r="S21" s="328">
        <v>3500</v>
      </c>
      <c r="T21" s="155">
        <v>4500</v>
      </c>
    </row>
    <row r="22" spans="1:20" x14ac:dyDescent="0.2">
      <c r="A22" s="389" t="s">
        <v>427</v>
      </c>
      <c r="B22" s="390" t="s">
        <v>252</v>
      </c>
      <c r="C22" s="394">
        <v>175</v>
      </c>
      <c r="D22" s="391">
        <v>175</v>
      </c>
      <c r="E22" s="391">
        <v>175</v>
      </c>
      <c r="F22" s="391">
        <v>175</v>
      </c>
      <c r="G22" s="42">
        <v>175</v>
      </c>
      <c r="H22" s="42">
        <v>175</v>
      </c>
      <c r="I22" s="42">
        <v>250</v>
      </c>
      <c r="J22" s="42">
        <v>250</v>
      </c>
      <c r="K22" s="155">
        <v>250</v>
      </c>
      <c r="L22" s="155">
        <v>250</v>
      </c>
      <c r="M22" s="155">
        <v>250</v>
      </c>
      <c r="N22" s="155">
        <v>275</v>
      </c>
      <c r="O22" s="328">
        <v>300</v>
      </c>
      <c r="P22" s="328">
        <v>300</v>
      </c>
      <c r="Q22" s="44"/>
      <c r="R22" s="300">
        <v>275</v>
      </c>
      <c r="S22" s="328">
        <v>300</v>
      </c>
      <c r="T22" s="155">
        <v>300</v>
      </c>
    </row>
    <row r="23" spans="1:20" x14ac:dyDescent="0.2">
      <c r="A23" s="389" t="s">
        <v>428</v>
      </c>
      <c r="B23" s="390" t="s">
        <v>254</v>
      </c>
      <c r="C23" s="394">
        <v>1250</v>
      </c>
      <c r="D23" s="391">
        <v>589.17999999999995</v>
      </c>
      <c r="E23" s="391">
        <v>1250</v>
      </c>
      <c r="F23" s="391">
        <v>1250</v>
      </c>
      <c r="G23" s="42">
        <v>604.28</v>
      </c>
      <c r="H23" s="42">
        <v>1250</v>
      </c>
      <c r="I23" s="42">
        <v>724.52</v>
      </c>
      <c r="J23" s="42">
        <v>1450</v>
      </c>
      <c r="K23" s="155">
        <v>623.37</v>
      </c>
      <c r="L23" s="155">
        <v>1450</v>
      </c>
      <c r="M23" s="155">
        <v>1450</v>
      </c>
      <c r="N23" s="155">
        <v>0</v>
      </c>
      <c r="O23" s="328">
        <v>1450</v>
      </c>
      <c r="P23" s="328">
        <v>1450</v>
      </c>
      <c r="Q23" s="44"/>
      <c r="R23" s="300">
        <v>0</v>
      </c>
      <c r="S23" s="328">
        <v>1450</v>
      </c>
      <c r="T23" s="155">
        <v>250</v>
      </c>
    </row>
    <row r="24" spans="1:20" x14ac:dyDescent="0.2">
      <c r="A24" s="389" t="s">
        <v>429</v>
      </c>
      <c r="B24" s="390" t="s">
        <v>430</v>
      </c>
      <c r="C24" s="394">
        <v>1725</v>
      </c>
      <c r="D24" s="391">
        <v>225</v>
      </c>
      <c r="E24" s="391">
        <v>1725</v>
      </c>
      <c r="F24" s="391">
        <v>1725</v>
      </c>
      <c r="G24" s="42">
        <v>0</v>
      </c>
      <c r="H24" s="42">
        <v>1725</v>
      </c>
      <c r="I24" s="42">
        <v>0</v>
      </c>
      <c r="J24" s="42">
        <v>1725</v>
      </c>
      <c r="K24" s="155">
        <v>225</v>
      </c>
      <c r="L24" s="155">
        <v>1725</v>
      </c>
      <c r="M24" s="155">
        <v>2000</v>
      </c>
      <c r="N24" s="155">
        <v>0</v>
      </c>
      <c r="O24" s="328">
        <v>2500</v>
      </c>
      <c r="P24" s="328">
        <v>2500</v>
      </c>
      <c r="Q24" s="44"/>
      <c r="R24" s="300">
        <v>1742.2</v>
      </c>
      <c r="S24" s="328">
        <v>2500</v>
      </c>
      <c r="T24" s="155">
        <v>2500</v>
      </c>
    </row>
    <row r="25" spans="1:20" x14ac:dyDescent="0.2">
      <c r="A25" s="389" t="s">
        <v>431</v>
      </c>
      <c r="B25" s="390" t="s">
        <v>432</v>
      </c>
      <c r="C25" s="394">
        <v>500</v>
      </c>
      <c r="D25" s="391">
        <v>0</v>
      </c>
      <c r="E25" s="391">
        <v>500</v>
      </c>
      <c r="F25" s="391">
        <v>500</v>
      </c>
      <c r="G25" s="42">
        <v>0</v>
      </c>
      <c r="H25" s="42">
        <v>500</v>
      </c>
      <c r="I25" s="42">
        <v>0</v>
      </c>
      <c r="J25" s="42">
        <v>500</v>
      </c>
      <c r="K25" s="155">
        <v>0</v>
      </c>
      <c r="L25" s="155">
        <v>500</v>
      </c>
      <c r="M25" s="155">
        <v>500</v>
      </c>
      <c r="N25" s="155">
        <v>0</v>
      </c>
      <c r="O25" s="328">
        <v>500</v>
      </c>
      <c r="P25" s="328">
        <v>500</v>
      </c>
      <c r="Q25" s="44"/>
      <c r="R25" s="300">
        <v>0</v>
      </c>
      <c r="S25" s="328">
        <v>500</v>
      </c>
      <c r="T25" s="155">
        <v>500</v>
      </c>
    </row>
    <row r="26" spans="1:20" x14ac:dyDescent="0.2">
      <c r="A26" s="389" t="s">
        <v>433</v>
      </c>
      <c r="B26" s="390" t="s">
        <v>258</v>
      </c>
      <c r="C26" s="394"/>
      <c r="D26" s="391"/>
      <c r="E26" s="391"/>
      <c r="F26" s="391"/>
      <c r="G26" s="42">
        <v>0</v>
      </c>
      <c r="H26" s="42"/>
      <c r="I26" s="42">
        <v>0</v>
      </c>
      <c r="J26" s="42"/>
      <c r="K26" s="155">
        <v>0</v>
      </c>
      <c r="L26" s="155"/>
      <c r="M26" s="155">
        <v>500</v>
      </c>
      <c r="N26" s="155">
        <v>72</v>
      </c>
      <c r="O26" s="328">
        <v>500</v>
      </c>
      <c r="P26" s="328">
        <v>500</v>
      </c>
      <c r="Q26" s="44"/>
      <c r="R26" s="300">
        <v>0</v>
      </c>
      <c r="S26" s="328">
        <v>500</v>
      </c>
      <c r="T26" s="155">
        <v>500</v>
      </c>
    </row>
    <row r="27" spans="1:20" x14ac:dyDescent="0.2">
      <c r="A27" s="389" t="s">
        <v>434</v>
      </c>
      <c r="B27" s="390" t="s">
        <v>435</v>
      </c>
      <c r="C27" s="394">
        <v>3500</v>
      </c>
      <c r="D27" s="391">
        <v>0</v>
      </c>
      <c r="E27" s="391">
        <v>3500</v>
      </c>
      <c r="F27" s="391">
        <v>3500</v>
      </c>
      <c r="G27" s="42">
        <v>0</v>
      </c>
      <c r="H27" s="42">
        <v>3550</v>
      </c>
      <c r="I27" s="42">
        <v>0</v>
      </c>
      <c r="J27" s="42">
        <v>3550</v>
      </c>
      <c r="K27" s="155">
        <v>0</v>
      </c>
      <c r="L27" s="155">
        <v>3550</v>
      </c>
      <c r="M27" s="155">
        <v>3550</v>
      </c>
      <c r="N27" s="155">
        <v>0</v>
      </c>
      <c r="O27" s="328">
        <v>3550</v>
      </c>
      <c r="P27" s="328">
        <v>3550</v>
      </c>
      <c r="Q27" s="44"/>
      <c r="R27" s="300">
        <v>0</v>
      </c>
      <c r="S27" s="603">
        <v>16100</v>
      </c>
      <c r="T27" s="604">
        <v>16100</v>
      </c>
    </row>
    <row r="28" spans="1:20" x14ac:dyDescent="0.2">
      <c r="A28" s="389" t="s">
        <v>436</v>
      </c>
      <c r="B28" s="390" t="s">
        <v>437</v>
      </c>
      <c r="C28" s="394"/>
      <c r="D28" s="391"/>
      <c r="E28" s="391"/>
      <c r="F28" s="391"/>
      <c r="G28" s="42"/>
      <c r="H28" s="42"/>
      <c r="I28" s="42"/>
      <c r="J28" s="42"/>
      <c r="K28" s="155">
        <v>0</v>
      </c>
      <c r="L28" s="155"/>
      <c r="M28" s="155">
        <v>750</v>
      </c>
      <c r="N28" s="155">
        <v>0</v>
      </c>
      <c r="O28" s="328">
        <v>750</v>
      </c>
      <c r="P28" s="328">
        <v>750</v>
      </c>
      <c r="Q28" s="44"/>
      <c r="R28" s="300">
        <v>0</v>
      </c>
      <c r="S28" s="328">
        <v>750</v>
      </c>
      <c r="T28" s="155">
        <v>1154.1400000000001</v>
      </c>
    </row>
    <row r="29" spans="1:20" x14ac:dyDescent="0.2">
      <c r="A29" s="389" t="s">
        <v>438</v>
      </c>
      <c r="B29" s="390" t="s">
        <v>1377</v>
      </c>
      <c r="C29" s="394"/>
      <c r="D29" s="391"/>
      <c r="E29" s="391"/>
      <c r="F29" s="391"/>
      <c r="G29" s="42"/>
      <c r="H29" s="42"/>
      <c r="I29" s="42"/>
      <c r="J29" s="42"/>
      <c r="K29" s="155">
        <v>0</v>
      </c>
      <c r="L29" s="155">
        <v>1750</v>
      </c>
      <c r="M29" s="155">
        <v>0</v>
      </c>
      <c r="N29" s="155">
        <v>0</v>
      </c>
      <c r="O29" s="328"/>
      <c r="P29" s="328"/>
      <c r="Q29" s="44"/>
      <c r="R29" s="300">
        <v>0</v>
      </c>
      <c r="S29" s="328"/>
      <c r="T29" s="155"/>
    </row>
    <row r="30" spans="1:20" x14ac:dyDescent="0.2">
      <c r="A30" s="389" t="s">
        <v>439</v>
      </c>
      <c r="B30" s="390" t="s">
        <v>440</v>
      </c>
      <c r="C30" s="394"/>
      <c r="D30" s="391"/>
      <c r="E30" s="391"/>
      <c r="F30" s="391"/>
      <c r="G30" s="42"/>
      <c r="H30" s="42"/>
      <c r="I30" s="42"/>
      <c r="J30" s="42"/>
      <c r="K30" s="155">
        <v>0</v>
      </c>
      <c r="L30" s="155"/>
      <c r="M30" s="155">
        <v>0</v>
      </c>
      <c r="N30" s="155">
        <v>0</v>
      </c>
      <c r="O30" s="328"/>
      <c r="P30" s="328"/>
      <c r="Q30" s="44"/>
      <c r="R30" s="300">
        <v>0</v>
      </c>
      <c r="S30" s="328"/>
      <c r="T30" s="155"/>
    </row>
    <row r="31" spans="1:20" hidden="1" x14ac:dyDescent="0.2">
      <c r="A31" s="389"/>
      <c r="B31" s="390" t="s">
        <v>441</v>
      </c>
      <c r="C31" s="394">
        <v>1300</v>
      </c>
      <c r="D31" s="391"/>
      <c r="E31" s="391"/>
      <c r="F31" s="391"/>
      <c r="G31" s="42"/>
      <c r="H31" s="42"/>
      <c r="I31" s="42"/>
      <c r="J31" s="42"/>
      <c r="K31" s="155"/>
      <c r="L31" s="155"/>
      <c r="M31" s="155">
        <v>0</v>
      </c>
      <c r="N31" s="155"/>
      <c r="O31" s="328"/>
      <c r="P31" s="328"/>
      <c r="Q31" s="44"/>
      <c r="R31" s="300">
        <v>0</v>
      </c>
      <c r="S31" s="328"/>
      <c r="T31" s="155"/>
    </row>
    <row r="32" spans="1:20" hidden="1" x14ac:dyDescent="0.2">
      <c r="A32" s="389"/>
      <c r="B32" s="390" t="s">
        <v>442</v>
      </c>
      <c r="C32" s="394"/>
      <c r="D32" s="391"/>
      <c r="E32" s="391"/>
      <c r="F32" s="391"/>
      <c r="G32" s="42"/>
      <c r="H32" s="42"/>
      <c r="I32" s="42"/>
      <c r="J32" s="42"/>
      <c r="K32" s="155"/>
      <c r="L32" s="155"/>
      <c r="M32" s="155">
        <v>0</v>
      </c>
      <c r="N32" s="155"/>
      <c r="O32" s="328"/>
      <c r="P32" s="328"/>
      <c r="Q32" s="44"/>
      <c r="R32" s="40">
        <v>0</v>
      </c>
      <c r="S32" s="328"/>
      <c r="T32" s="155"/>
    </row>
    <row r="33" spans="1:20" x14ac:dyDescent="0.2">
      <c r="A33" s="389" t="s">
        <v>436</v>
      </c>
      <c r="B33" s="390" t="s">
        <v>437</v>
      </c>
      <c r="C33" s="394"/>
      <c r="D33" s="391">
        <v>1222.1400000000001</v>
      </c>
      <c r="E33" s="391"/>
      <c r="F33" s="391"/>
      <c r="G33" s="42">
        <v>0</v>
      </c>
      <c r="H33" s="42">
        <v>1000</v>
      </c>
      <c r="I33" s="42">
        <v>0</v>
      </c>
      <c r="J33" s="42">
        <v>1000</v>
      </c>
      <c r="K33" s="155"/>
      <c r="L33" s="155">
        <v>1000</v>
      </c>
      <c r="M33" s="155">
        <v>0</v>
      </c>
      <c r="N33" s="155"/>
      <c r="O33" s="328"/>
      <c r="P33" s="328"/>
      <c r="Q33" s="44"/>
      <c r="R33" s="40">
        <v>0</v>
      </c>
      <c r="S33" s="328"/>
      <c r="T33" s="155"/>
    </row>
    <row r="34" spans="1:20" x14ac:dyDescent="0.2">
      <c r="A34" s="389" t="s">
        <v>443</v>
      </c>
      <c r="B34" s="390" t="s">
        <v>444</v>
      </c>
      <c r="C34" s="394"/>
      <c r="D34" s="391"/>
      <c r="E34" s="399">
        <v>600</v>
      </c>
      <c r="F34" s="398">
        <v>600</v>
      </c>
      <c r="G34" s="42">
        <v>479.98</v>
      </c>
      <c r="H34" s="42">
        <v>500</v>
      </c>
      <c r="I34" s="42">
        <v>0</v>
      </c>
      <c r="J34" s="42"/>
      <c r="K34" s="155">
        <v>0</v>
      </c>
      <c r="L34" s="155"/>
      <c r="M34" s="155">
        <v>0</v>
      </c>
      <c r="N34" s="155">
        <v>0</v>
      </c>
      <c r="O34" s="328"/>
      <c r="P34" s="328"/>
      <c r="Q34" s="44"/>
      <c r="R34" s="40">
        <v>0</v>
      </c>
      <c r="S34" s="328"/>
      <c r="T34" s="155">
        <v>600</v>
      </c>
    </row>
    <row r="35" spans="1:20" x14ac:dyDescent="0.2">
      <c r="A35" s="389" t="s">
        <v>1516</v>
      </c>
      <c r="B35" s="390" t="s">
        <v>1475</v>
      </c>
      <c r="C35" s="394"/>
      <c r="D35" s="391"/>
      <c r="E35" s="399"/>
      <c r="F35" s="398"/>
      <c r="G35" s="42"/>
      <c r="H35" s="42"/>
      <c r="I35" s="42"/>
      <c r="J35" s="42"/>
      <c r="K35" s="155"/>
      <c r="L35" s="155"/>
      <c r="M35" s="155">
        <v>2000</v>
      </c>
      <c r="N35" s="155"/>
      <c r="O35" s="328">
        <v>500</v>
      </c>
      <c r="P35" s="328">
        <v>500</v>
      </c>
      <c r="Q35" s="44"/>
      <c r="R35" s="40"/>
      <c r="S35" s="328"/>
      <c r="T35" s="155"/>
    </row>
    <row r="36" spans="1:20" x14ac:dyDescent="0.2">
      <c r="A36" s="389"/>
      <c r="B36" s="390" t="s">
        <v>169</v>
      </c>
      <c r="C36" s="394">
        <f>SUM(C4:C32)</f>
        <v>109633.00914320401</v>
      </c>
      <c r="D36" s="391">
        <f>SUM(D4:D33)</f>
        <v>53147.37</v>
      </c>
      <c r="E36" s="400">
        <f t="shared" ref="E36:L36" si="0">SUM(E4:E34)</f>
        <v>115156.79856119599</v>
      </c>
      <c r="F36" s="42">
        <f t="shared" si="0"/>
        <v>114534.543555</v>
      </c>
      <c r="G36" s="42">
        <f t="shared" si="0"/>
        <v>53373.07</v>
      </c>
      <c r="H36" s="42">
        <f t="shared" si="0"/>
        <v>93121.760000000009</v>
      </c>
      <c r="I36" s="42">
        <f t="shared" si="0"/>
        <v>55740.36</v>
      </c>
      <c r="J36" s="42">
        <f t="shared" si="0"/>
        <v>122081.941035</v>
      </c>
      <c r="K36" s="155">
        <f t="shared" si="0"/>
        <v>56511.530000000006</v>
      </c>
      <c r="L36" s="155">
        <f t="shared" si="0"/>
        <v>125517.97704500001</v>
      </c>
      <c r="M36" s="155">
        <f>SUM(M4:M35)</f>
        <v>137695.44</v>
      </c>
      <c r="N36" s="155">
        <f>SUM(N4:N34)</f>
        <v>59162.32</v>
      </c>
      <c r="O36" s="328">
        <f t="shared" ref="O36:T36" si="1">SUM(O4:O35)</f>
        <v>141288.59874983371</v>
      </c>
      <c r="P36" s="224">
        <f t="shared" si="1"/>
        <v>142701.96509617049</v>
      </c>
      <c r="Q36" s="224">
        <f t="shared" si="1"/>
        <v>6326.3382554999998</v>
      </c>
      <c r="R36" s="224">
        <f t="shared" si="1"/>
        <v>67025.259999999995</v>
      </c>
      <c r="S36" s="532">
        <f t="shared" si="1"/>
        <v>166632.45658500001</v>
      </c>
      <c r="T36" s="224">
        <f t="shared" si="1"/>
        <v>171531.43538725001</v>
      </c>
    </row>
    <row r="37" spans="1:20" x14ac:dyDescent="0.2">
      <c r="A37" s="401"/>
      <c r="B37" s="402"/>
      <c r="C37" s="390"/>
      <c r="D37" s="391"/>
      <c r="E37" s="403"/>
      <c r="F37" s="42"/>
      <c r="G37" s="42"/>
      <c r="H37" s="42"/>
      <c r="I37" s="42"/>
      <c r="J37" s="42"/>
      <c r="K37" s="155"/>
      <c r="L37" s="155"/>
      <c r="M37" s="44"/>
      <c r="N37" s="155"/>
      <c r="O37" s="328"/>
      <c r="P37" s="42"/>
      <c r="Q37" s="44"/>
      <c r="R37" s="44"/>
      <c r="S37" s="247"/>
      <c r="T37" s="2"/>
    </row>
    <row r="38" spans="1:20" x14ac:dyDescent="0.2">
      <c r="A38" s="187"/>
      <c r="B38" s="188"/>
      <c r="C38" s="58"/>
      <c r="D38" s="184"/>
      <c r="E38" s="184"/>
      <c r="F38" s="3"/>
      <c r="G38" s="3"/>
      <c r="H38" s="3"/>
      <c r="I38" s="3"/>
      <c r="J38" s="3"/>
      <c r="K38" s="151"/>
      <c r="L38" s="151"/>
      <c r="M38" s="2"/>
      <c r="N38" s="151"/>
      <c r="O38" s="163"/>
      <c r="P38" s="3"/>
      <c r="Q38" s="2"/>
      <c r="R38" s="2"/>
      <c r="S38" s="90"/>
      <c r="T38" s="2"/>
    </row>
    <row r="39" spans="1:20" x14ac:dyDescent="0.2">
      <c r="A39" s="187"/>
      <c r="B39" s="188"/>
      <c r="C39" s="58"/>
      <c r="D39" s="22"/>
      <c r="E39" s="184"/>
      <c r="F39" s="3"/>
      <c r="G39" s="3"/>
      <c r="H39" s="3"/>
      <c r="I39" s="3"/>
      <c r="J39" s="3"/>
      <c r="K39" s="151"/>
      <c r="L39" s="151"/>
      <c r="M39" s="2"/>
      <c r="N39" s="151"/>
      <c r="O39" s="163"/>
      <c r="P39" s="3"/>
      <c r="Q39" s="2"/>
      <c r="R39" s="2"/>
      <c r="S39" s="90"/>
      <c r="T39" s="2"/>
    </row>
    <row r="40" spans="1:20" x14ac:dyDescent="0.2">
      <c r="D40" s="191"/>
      <c r="E40" s="192"/>
    </row>
    <row r="41" spans="1:20" x14ac:dyDescent="0.2">
      <c r="D41" s="191"/>
      <c r="E41" s="192"/>
    </row>
    <row r="42" spans="1:20" x14ac:dyDescent="0.2">
      <c r="D42" s="191"/>
      <c r="E42" s="192"/>
    </row>
    <row r="43" spans="1:20" x14ac:dyDescent="0.2">
      <c r="D43" s="191"/>
      <c r="E43" s="192"/>
    </row>
    <row r="44" spans="1:20" x14ac:dyDescent="0.2">
      <c r="D44" s="191"/>
      <c r="E44" s="192"/>
    </row>
    <row r="45" spans="1:20" x14ac:dyDescent="0.2">
      <c r="D45" s="191"/>
      <c r="E45" s="192"/>
    </row>
    <row r="46" spans="1:20" ht="15" x14ac:dyDescent="0.25">
      <c r="D46" s="193"/>
      <c r="E46" s="192"/>
    </row>
    <row r="47" spans="1:20" x14ac:dyDescent="0.2">
      <c r="D47" s="191"/>
      <c r="E47" s="192"/>
    </row>
    <row r="48" spans="1:20" x14ac:dyDescent="0.2">
      <c r="D48" s="191"/>
      <c r="E48" s="192"/>
    </row>
    <row r="49" spans="4:5" x14ac:dyDescent="0.2">
      <c r="D49" s="191"/>
      <c r="E49" s="192"/>
    </row>
    <row r="50" spans="4:5" ht="15" x14ac:dyDescent="0.25">
      <c r="D50" s="194"/>
      <c r="E50" s="192"/>
    </row>
    <row r="51" spans="4:5" ht="15" x14ac:dyDescent="0.25">
      <c r="D51" s="194"/>
      <c r="E51" s="192"/>
    </row>
    <row r="52" spans="4:5" x14ac:dyDescent="0.2">
      <c r="D52" s="191"/>
      <c r="E52" s="192"/>
    </row>
    <row r="53" spans="4:5" x14ac:dyDescent="0.2">
      <c r="D53" s="195"/>
      <c r="E53" s="192"/>
    </row>
    <row r="54" spans="4:5" x14ac:dyDescent="0.2">
      <c r="D54" s="191"/>
      <c r="E54" s="192"/>
    </row>
    <row r="55" spans="4:5" x14ac:dyDescent="0.2">
      <c r="D55" s="191"/>
      <c r="E55" s="192"/>
    </row>
    <row r="56" spans="4:5" x14ac:dyDescent="0.2">
      <c r="D56" s="191"/>
      <c r="E56" s="192"/>
    </row>
    <row r="57" spans="4:5" x14ac:dyDescent="0.2">
      <c r="D57" s="191"/>
      <c r="E57" s="192"/>
    </row>
    <row r="58" spans="4:5" x14ac:dyDescent="0.2">
      <c r="D58" s="191"/>
      <c r="E58" s="192"/>
    </row>
    <row r="59" spans="4:5" x14ac:dyDescent="0.2">
      <c r="D59" s="191"/>
      <c r="E59" s="192"/>
    </row>
    <row r="60" spans="4:5" x14ac:dyDescent="0.2">
      <c r="D60" s="191"/>
      <c r="E60" s="192"/>
    </row>
    <row r="61" spans="4:5" x14ac:dyDescent="0.2">
      <c r="D61" s="191"/>
      <c r="E61" s="192"/>
    </row>
    <row r="62" spans="4:5" x14ac:dyDescent="0.2">
      <c r="D62" s="191"/>
      <c r="E62" s="192"/>
    </row>
    <row r="63" spans="4:5" x14ac:dyDescent="0.2">
      <c r="D63" s="191"/>
      <c r="E63" s="192"/>
    </row>
    <row r="64" spans="4:5" x14ac:dyDescent="0.2">
      <c r="D64" s="191"/>
      <c r="E64" s="192"/>
    </row>
    <row r="65" spans="4:5" x14ac:dyDescent="0.2">
      <c r="D65" s="191"/>
      <c r="E65" s="192"/>
    </row>
    <row r="66" spans="4:5" x14ac:dyDescent="0.2">
      <c r="D66" s="191"/>
      <c r="E66" s="192"/>
    </row>
    <row r="67" spans="4:5" x14ac:dyDescent="0.2">
      <c r="D67" s="192"/>
      <c r="E67" s="192"/>
    </row>
    <row r="68" spans="4:5" x14ac:dyDescent="0.2">
      <c r="D68" s="192"/>
      <c r="E68" s="192"/>
    </row>
    <row r="69" spans="4:5" x14ac:dyDescent="0.2">
      <c r="D69" s="192"/>
      <c r="E69" s="192"/>
    </row>
    <row r="70" spans="4:5" x14ac:dyDescent="0.2">
      <c r="D70" s="192"/>
      <c r="E70" s="192"/>
    </row>
    <row r="71" spans="4:5" x14ac:dyDescent="0.2">
      <c r="D71" s="192"/>
      <c r="E71" s="192"/>
    </row>
    <row r="72" spans="4:5" x14ac:dyDescent="0.2">
      <c r="D72" s="192"/>
      <c r="E72" s="192"/>
    </row>
    <row r="73" spans="4:5" x14ac:dyDescent="0.2">
      <c r="D73" s="192"/>
      <c r="E73" s="192"/>
    </row>
  </sheetData>
  <phoneticPr fontId="24" type="noConversion"/>
  <pageMargins left="0.25" right="0.25" top="0.75" bottom="0.7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8"/>
  <sheetViews>
    <sheetView zoomScale="92" zoomScaleNormal="92" workbookViewId="0">
      <selection activeCell="T1" sqref="T1:T1048576"/>
    </sheetView>
  </sheetViews>
  <sheetFormatPr defaultRowHeight="14.25" x14ac:dyDescent="0.2"/>
  <cols>
    <col min="1" max="1" width="11.75" style="297" customWidth="1"/>
    <col min="2" max="2" width="32" style="297" customWidth="1"/>
    <col min="3" max="3" width="12.75" style="298" hidden="1" customWidth="1"/>
    <col min="4" max="4" width="12.375" style="298" hidden="1" customWidth="1"/>
    <col min="5" max="5" width="12.75" style="298" hidden="1" customWidth="1"/>
    <col min="6" max="6" width="14.75" style="421" hidden="1" customWidth="1"/>
    <col min="7" max="7" width="11.5" style="290" hidden="1" customWidth="1"/>
    <col min="8" max="8" width="12.375" style="290" hidden="1" customWidth="1"/>
    <col min="9" max="9" width="13" style="290" hidden="1" customWidth="1"/>
    <col min="10" max="10" width="11" hidden="1" customWidth="1"/>
    <col min="11" max="11" width="12.75" hidden="1" customWidth="1"/>
    <col min="12" max="12" width="11.75" hidden="1" customWidth="1"/>
    <col min="13" max="13" width="12.75" hidden="1" customWidth="1"/>
    <col min="14" max="14" width="14.375" style="172" hidden="1" customWidth="1"/>
    <col min="15" max="15" width="14.5" hidden="1" customWidth="1"/>
    <col min="16" max="16" width="13.875" hidden="1" customWidth="1"/>
    <col min="17" max="17" width="14.5" hidden="1" customWidth="1"/>
    <col min="18" max="18" width="11.375" hidden="1" customWidth="1"/>
    <col min="19" max="19" width="14.375" hidden="1" customWidth="1"/>
    <col min="20" max="20" width="15.75" style="172" hidden="1" customWidth="1"/>
    <col min="21" max="21" width="14" customWidth="1"/>
    <col min="22" max="22" width="12.25" bestFit="1" customWidth="1"/>
  </cols>
  <sheetData>
    <row r="1" spans="1:21" x14ac:dyDescent="0.2">
      <c r="A1" s="512"/>
      <c r="B1" s="512"/>
      <c r="Q1" s="2"/>
      <c r="R1" s="2"/>
    </row>
    <row r="2" spans="1:21" ht="45" x14ac:dyDescent="0.25">
      <c r="A2" s="280"/>
      <c r="B2" s="281" t="s">
        <v>10</v>
      </c>
      <c r="C2" s="513" t="s">
        <v>207</v>
      </c>
      <c r="D2" s="514" t="s">
        <v>208</v>
      </c>
      <c r="E2" s="515" t="s">
        <v>303</v>
      </c>
      <c r="F2" s="423" t="s">
        <v>349</v>
      </c>
      <c r="G2" s="516" t="s">
        <v>209</v>
      </c>
      <c r="H2" s="516" t="s">
        <v>210</v>
      </c>
      <c r="I2" s="424" t="s">
        <v>350</v>
      </c>
      <c r="J2" s="517" t="s">
        <v>212</v>
      </c>
      <c r="K2" s="517" t="s">
        <v>213</v>
      </c>
      <c r="L2" s="266" t="s">
        <v>1351</v>
      </c>
      <c r="M2" s="266" t="s">
        <v>1352</v>
      </c>
      <c r="N2" s="266" t="s">
        <v>1495</v>
      </c>
      <c r="O2" s="143" t="s">
        <v>1494</v>
      </c>
      <c r="P2" s="154" t="s">
        <v>1505</v>
      </c>
      <c r="Q2" s="266" t="s">
        <v>1569</v>
      </c>
      <c r="R2" s="2"/>
      <c r="S2" s="143" t="s">
        <v>1568</v>
      </c>
      <c r="T2" s="488" t="s">
        <v>1634</v>
      </c>
      <c r="U2" s="488" t="s">
        <v>1686</v>
      </c>
    </row>
    <row r="3" spans="1:21" x14ac:dyDescent="0.2">
      <c r="A3" s="283"/>
      <c r="B3" s="287"/>
      <c r="C3" s="287"/>
      <c r="D3" s="355"/>
      <c r="E3" s="354"/>
      <c r="F3" s="288"/>
      <c r="G3" s="285"/>
      <c r="H3" s="285"/>
      <c r="I3" s="518"/>
      <c r="J3" s="288"/>
      <c r="K3" s="288"/>
      <c r="L3" s="180"/>
      <c r="M3" s="180"/>
      <c r="N3" s="49"/>
      <c r="O3" s="222"/>
      <c r="P3" s="231"/>
      <c r="Q3" s="2"/>
      <c r="R3" s="2"/>
      <c r="S3" s="270"/>
      <c r="T3" s="49"/>
      <c r="U3" s="2"/>
    </row>
    <row r="4" spans="1:21" x14ac:dyDescent="0.2">
      <c r="A4" s="283" t="s">
        <v>445</v>
      </c>
      <c r="B4" s="287" t="s">
        <v>446</v>
      </c>
      <c r="C4" s="292">
        <v>30620.15</v>
      </c>
      <c r="D4" s="355">
        <v>15310.08</v>
      </c>
      <c r="E4" s="292">
        <v>30620.15</v>
      </c>
      <c r="F4" s="288">
        <v>32120.15</v>
      </c>
      <c r="G4" s="288">
        <v>16060.08</v>
      </c>
      <c r="H4" s="288" t="s">
        <v>447</v>
      </c>
      <c r="I4" s="519">
        <f>SUM(F4*1.03)</f>
        <v>33083.754500000003</v>
      </c>
      <c r="J4" s="288">
        <v>16541.88</v>
      </c>
      <c r="K4" s="288">
        <v>34737.93</v>
      </c>
      <c r="L4" s="180">
        <v>17094.96</v>
      </c>
      <c r="M4" s="180">
        <v>35780.080000000002</v>
      </c>
      <c r="N4" s="49">
        <v>37800</v>
      </c>
      <c r="O4" s="180">
        <v>18318.36</v>
      </c>
      <c r="P4" s="50">
        <f t="shared" ref="P4:P41" si="0">SUM(O4-L4)</f>
        <v>1223.4000000000015</v>
      </c>
      <c r="Q4" s="50">
        <v>40800</v>
      </c>
      <c r="R4" s="50">
        <f>SUM(Q4-N4)</f>
        <v>3000</v>
      </c>
      <c r="S4" s="270">
        <v>21184.6</v>
      </c>
      <c r="T4" s="49">
        <f>SUM(Q$4*1.03)</f>
        <v>42024</v>
      </c>
      <c r="U4" s="49">
        <f>SUM(T$4*1.05)</f>
        <v>44125.200000000004</v>
      </c>
    </row>
    <row r="5" spans="1:21" x14ac:dyDescent="0.2">
      <c r="A5" s="283" t="s">
        <v>448</v>
      </c>
      <c r="B5" s="287" t="s">
        <v>449</v>
      </c>
      <c r="C5" s="292">
        <v>24157.119999999999</v>
      </c>
      <c r="D5" s="355">
        <v>12193</v>
      </c>
      <c r="E5" s="292">
        <v>24157.119999999999</v>
      </c>
      <c r="F5" s="288">
        <v>25657.119999999999</v>
      </c>
      <c r="G5" s="288">
        <v>12860.12</v>
      </c>
      <c r="H5" s="288" t="s">
        <v>450</v>
      </c>
      <c r="I5" s="519">
        <f>SUM(F5*1.03)</f>
        <v>26426.833599999998</v>
      </c>
      <c r="J5" s="288">
        <v>13305.85</v>
      </c>
      <c r="K5" s="288">
        <v>27748.17</v>
      </c>
      <c r="L5" s="180">
        <v>13613.6</v>
      </c>
      <c r="M5" s="180">
        <v>28580.62</v>
      </c>
      <c r="N5" s="49">
        <v>30597</v>
      </c>
      <c r="O5" s="180">
        <v>12565.57</v>
      </c>
      <c r="P5" s="50">
        <f t="shared" si="0"/>
        <v>-1048.0300000000007</v>
      </c>
      <c r="Q5" s="229">
        <v>32097</v>
      </c>
      <c r="R5" s="50">
        <f>SUM(Q5-N5)</f>
        <v>1500</v>
      </c>
      <c r="S5" s="353">
        <v>13300</v>
      </c>
      <c r="T5" s="49">
        <f>SUM(Q$5*1.03)</f>
        <v>33059.910000000003</v>
      </c>
      <c r="U5" s="49">
        <f>SUM(T$5*1.03)</f>
        <v>34051.707300000002</v>
      </c>
    </row>
    <row r="6" spans="1:21" x14ac:dyDescent="0.2">
      <c r="A6" s="283"/>
      <c r="B6" s="287" t="s">
        <v>274</v>
      </c>
      <c r="C6" s="292"/>
      <c r="D6" s="355"/>
      <c r="E6" s="288">
        <v>18054.400000000001</v>
      </c>
      <c r="F6" s="288"/>
      <c r="G6" s="288"/>
      <c r="H6" s="288"/>
      <c r="I6" s="518"/>
      <c r="J6" s="288">
        <v>0</v>
      </c>
      <c r="K6" s="288"/>
      <c r="L6" s="180"/>
      <c r="M6" s="180">
        <v>24030.02</v>
      </c>
      <c r="N6" s="180">
        <v>0</v>
      </c>
      <c r="O6" s="180">
        <v>0</v>
      </c>
      <c r="P6" s="50">
        <f t="shared" si="0"/>
        <v>0</v>
      </c>
      <c r="Q6" s="229">
        <v>19655</v>
      </c>
      <c r="R6" s="2"/>
      <c r="S6" s="306">
        <v>10106.77</v>
      </c>
      <c r="T6" s="49">
        <v>30566</v>
      </c>
      <c r="U6" s="49">
        <f>SUM(T$6*1.03)</f>
        <v>31482.98</v>
      </c>
    </row>
    <row r="7" spans="1:21" x14ac:dyDescent="0.2">
      <c r="A7" s="283"/>
      <c r="B7" s="287" t="s">
        <v>274</v>
      </c>
      <c r="C7" s="292"/>
      <c r="D7" s="355"/>
      <c r="E7" s="288"/>
      <c r="F7" s="288"/>
      <c r="G7" s="288"/>
      <c r="H7" s="288"/>
      <c r="I7" s="518"/>
      <c r="J7" s="288"/>
      <c r="K7" s="288"/>
      <c r="L7" s="180"/>
      <c r="M7" s="180"/>
      <c r="N7" s="180">
        <v>18655</v>
      </c>
      <c r="O7" s="180">
        <v>8430.7000000000007</v>
      </c>
      <c r="P7" s="50">
        <f t="shared" si="0"/>
        <v>8430.7000000000007</v>
      </c>
      <c r="R7" s="50">
        <f>SUM(Q6-N7)</f>
        <v>1000</v>
      </c>
      <c r="S7" s="306"/>
      <c r="T7" s="49">
        <v>0</v>
      </c>
      <c r="U7" s="464"/>
    </row>
    <row r="8" spans="1:21" x14ac:dyDescent="0.2">
      <c r="A8" s="283" t="s">
        <v>1579</v>
      </c>
      <c r="B8" s="287" t="s">
        <v>1580</v>
      </c>
      <c r="C8" s="292"/>
      <c r="D8" s="355"/>
      <c r="E8" s="288"/>
      <c r="F8" s="288"/>
      <c r="G8" s="288"/>
      <c r="H8" s="288"/>
      <c r="I8" s="518"/>
      <c r="J8" s="288"/>
      <c r="K8" s="288"/>
      <c r="L8" s="180"/>
      <c r="M8" s="180"/>
      <c r="N8" s="180"/>
      <c r="O8" s="180"/>
      <c r="P8" s="50"/>
      <c r="Q8" s="229"/>
      <c r="R8" s="50"/>
      <c r="T8" s="49"/>
      <c r="U8" s="464"/>
    </row>
    <row r="9" spans="1:21" x14ac:dyDescent="0.2">
      <c r="A9" s="283" t="s">
        <v>451</v>
      </c>
      <c r="B9" s="287" t="s">
        <v>218</v>
      </c>
      <c r="C9" s="292">
        <v>1000</v>
      </c>
      <c r="D9" s="355">
        <v>0</v>
      </c>
      <c r="E9" s="292">
        <v>1000</v>
      </c>
      <c r="F9" s="288">
        <v>1000</v>
      </c>
      <c r="G9" s="288">
        <v>367.5</v>
      </c>
      <c r="H9" s="288">
        <v>3600</v>
      </c>
      <c r="I9" s="369">
        <v>2500</v>
      </c>
      <c r="J9" s="288">
        <v>709.5</v>
      </c>
      <c r="K9" s="288">
        <v>8400</v>
      </c>
      <c r="L9" s="180">
        <v>1981.4</v>
      </c>
      <c r="M9" s="180">
        <v>3500</v>
      </c>
      <c r="N9" s="180">
        <v>0</v>
      </c>
      <c r="O9" s="180">
        <v>0</v>
      </c>
      <c r="P9" s="50">
        <f t="shared" si="0"/>
        <v>-1981.4</v>
      </c>
      <c r="Q9" s="229"/>
      <c r="R9" s="2"/>
      <c r="S9" s="306">
        <v>0</v>
      </c>
      <c r="T9" s="49"/>
      <c r="U9" s="464"/>
    </row>
    <row r="10" spans="1:21" x14ac:dyDescent="0.2">
      <c r="A10" s="283" t="s">
        <v>452</v>
      </c>
      <c r="B10" s="287" t="s">
        <v>220</v>
      </c>
      <c r="C10" s="292">
        <v>1532.5</v>
      </c>
      <c r="D10" s="355">
        <v>675</v>
      </c>
      <c r="E10" s="292">
        <v>1532.5</v>
      </c>
      <c r="F10" s="288">
        <v>1590</v>
      </c>
      <c r="G10" s="288">
        <v>720</v>
      </c>
      <c r="H10" s="288">
        <v>1710</v>
      </c>
      <c r="I10" s="369">
        <v>1710</v>
      </c>
      <c r="J10" s="288">
        <v>815</v>
      </c>
      <c r="K10" s="288">
        <v>1830</v>
      </c>
      <c r="L10" s="180">
        <v>870</v>
      </c>
      <c r="M10" s="180">
        <v>1890</v>
      </c>
      <c r="N10" s="180">
        <v>1200</v>
      </c>
      <c r="O10" s="180">
        <v>650</v>
      </c>
      <c r="P10" s="50">
        <f t="shared" si="0"/>
        <v>-220</v>
      </c>
      <c r="Q10" s="229">
        <v>1200</v>
      </c>
      <c r="R10" s="2"/>
      <c r="S10" s="270">
        <v>650</v>
      </c>
      <c r="T10" s="49">
        <v>1200</v>
      </c>
      <c r="U10" s="278">
        <v>1200</v>
      </c>
    </row>
    <row r="11" spans="1:21" x14ac:dyDescent="0.2">
      <c r="A11" s="283" t="s">
        <v>453</v>
      </c>
      <c r="B11" s="287" t="s">
        <v>226</v>
      </c>
      <c r="C11" s="292">
        <v>183.73</v>
      </c>
      <c r="D11" s="355">
        <v>99.76</v>
      </c>
      <c r="E11" s="355">
        <v>250</v>
      </c>
      <c r="F11" s="288">
        <v>250</v>
      </c>
      <c r="G11" s="288">
        <v>107.86</v>
      </c>
      <c r="H11" s="288">
        <v>300</v>
      </c>
      <c r="I11" s="369">
        <v>300</v>
      </c>
      <c r="J11" s="288">
        <v>115.55</v>
      </c>
      <c r="K11" s="288">
        <v>325</v>
      </c>
      <c r="L11" s="180">
        <v>116.06</v>
      </c>
      <c r="M11" s="180">
        <v>325</v>
      </c>
      <c r="N11" s="180">
        <v>325</v>
      </c>
      <c r="O11" s="180">
        <v>104.33</v>
      </c>
      <c r="P11" s="50">
        <f t="shared" si="0"/>
        <v>-11.730000000000004</v>
      </c>
      <c r="Q11" s="229">
        <v>350</v>
      </c>
      <c r="R11" s="2"/>
      <c r="S11" s="306">
        <v>123.34</v>
      </c>
      <c r="T11" s="49"/>
      <c r="U11" s="464"/>
    </row>
    <row r="12" spans="1:21" x14ac:dyDescent="0.2">
      <c r="A12" s="283" t="s">
        <v>454</v>
      </c>
      <c r="B12" s="287" t="s">
        <v>228</v>
      </c>
      <c r="C12" s="292">
        <f>SUM($C$4:$C$10)*0.1262</f>
        <v>7232.4929740000007</v>
      </c>
      <c r="D12" s="355">
        <v>3438.63</v>
      </c>
      <c r="E12" s="355">
        <f>SUM(E4:E10)*0.1242</f>
        <v>9360.2299140000014</v>
      </c>
      <c r="F12" s="355">
        <f>SUM(F4:F10)*0.129</f>
        <v>7787.3778300000004</v>
      </c>
      <c r="G12" s="288">
        <v>3716.01</v>
      </c>
      <c r="H12" s="288"/>
      <c r="I12" s="369">
        <f>SUM(I4:I10)*0.12</f>
        <v>7646.4705720000002</v>
      </c>
      <c r="J12" s="288">
        <v>3735.68</v>
      </c>
      <c r="K12" s="288">
        <f>SUM(K$4:K$10)*0.12</f>
        <v>8725.9320000000007</v>
      </c>
      <c r="L12" s="180">
        <v>3721.57</v>
      </c>
      <c r="M12" s="180">
        <v>10606.88</v>
      </c>
      <c r="N12" s="288">
        <v>9795.9699999999993</v>
      </c>
      <c r="O12" s="180">
        <v>4460.9399999999996</v>
      </c>
      <c r="P12" s="50">
        <f t="shared" si="0"/>
        <v>739.36999999999944</v>
      </c>
      <c r="Q12" s="49">
        <f>SUM(Q$4:Q$10)*0.099</f>
        <v>9281.4480000000003</v>
      </c>
      <c r="R12" s="49">
        <f>SUM(R$4:R$10)*0.099</f>
        <v>544.5</v>
      </c>
      <c r="S12" s="306">
        <v>4893.17</v>
      </c>
      <c r="T12" s="49">
        <f>SUM(T$4:T$10)*0.095</f>
        <v>10150.741450000001</v>
      </c>
      <c r="U12" s="49">
        <f>SUM(U$4:U$10)*0.085</f>
        <v>9423.0904205000006</v>
      </c>
    </row>
    <row r="13" spans="1:21" x14ac:dyDescent="0.2">
      <c r="A13" s="283" t="s">
        <v>455</v>
      </c>
      <c r="B13" s="287" t="s">
        <v>230</v>
      </c>
      <c r="C13" s="292">
        <f>SUM($C$4:$C$10)*0.0145</f>
        <v>830.99166500000013</v>
      </c>
      <c r="D13" s="355">
        <v>401.08</v>
      </c>
      <c r="E13" s="355">
        <f>SUM(E4:E10)*0.0145</f>
        <v>1092.7804650000003</v>
      </c>
      <c r="F13" s="355">
        <f>SUM(F4:F10)*0.0145</f>
        <v>875.32541500000013</v>
      </c>
      <c r="G13" s="288">
        <v>435.3</v>
      </c>
      <c r="H13" s="288"/>
      <c r="I13" s="369">
        <f>SUM(I4:I10)*0.0145</f>
        <v>923.94852745000003</v>
      </c>
      <c r="J13" s="288">
        <v>449.36</v>
      </c>
      <c r="K13" s="288">
        <f>SUM(K$4:K$10)*0.0145</f>
        <v>1054.38345</v>
      </c>
      <c r="L13" s="180">
        <v>481.66</v>
      </c>
      <c r="M13" s="180">
        <v>965.21</v>
      </c>
      <c r="N13" s="288">
        <v>1279.6500000000001</v>
      </c>
      <c r="O13" s="180">
        <v>588.42999999999995</v>
      </c>
      <c r="P13" s="50">
        <f t="shared" si="0"/>
        <v>106.76999999999992</v>
      </c>
      <c r="Q13" s="49">
        <f>SUM(Q$4:Q$10)*0.0145</f>
        <v>1359.404</v>
      </c>
      <c r="R13" s="49">
        <f>SUM(R$4:R$10)*0.0145</f>
        <v>79.75</v>
      </c>
      <c r="S13" s="306">
        <v>676.6</v>
      </c>
      <c r="T13" s="49">
        <f>SUM(T$4:T$10)*0.0145</f>
        <v>1549.323695</v>
      </c>
      <c r="U13" s="49">
        <f>SUM(U$4:U$10)*0.0145</f>
        <v>1607.4683658500001</v>
      </c>
    </row>
    <row r="14" spans="1:21" x14ac:dyDescent="0.2">
      <c r="A14" s="283" t="s">
        <v>456</v>
      </c>
      <c r="B14" s="287" t="s">
        <v>232</v>
      </c>
      <c r="C14" s="292">
        <f>SUM($C$4:$C$10)*0.062</f>
        <v>3553.2057400000003</v>
      </c>
      <c r="D14" s="355">
        <v>1715.13</v>
      </c>
      <c r="E14" s="355">
        <f>SUM(E5:E11)*0.062</f>
        <v>2789.6292400000002</v>
      </c>
      <c r="F14" s="355">
        <f>SUM(F4:F10)*0.062</f>
        <v>3742.7707400000004</v>
      </c>
      <c r="G14" s="288">
        <v>1861.21</v>
      </c>
      <c r="H14" s="288"/>
      <c r="I14" s="369">
        <f>SUM(I4:I10)*0.062</f>
        <v>3950.6764622000001</v>
      </c>
      <c r="J14" s="288">
        <v>1921.28</v>
      </c>
      <c r="K14" s="288">
        <f>SUM(K$4:K$10)*0.062</f>
        <v>4508.3982000000005</v>
      </c>
      <c r="L14" s="180">
        <v>2059.4699999999998</v>
      </c>
      <c r="M14" s="180">
        <v>6761.9</v>
      </c>
      <c r="N14" s="288">
        <v>5471.62</v>
      </c>
      <c r="O14" s="180">
        <v>2515.92</v>
      </c>
      <c r="P14" s="50">
        <f t="shared" si="0"/>
        <v>456.45000000000027</v>
      </c>
      <c r="Q14" s="49">
        <f>SUM(Q$4:Q$10)*0.062</f>
        <v>5812.6239999999998</v>
      </c>
      <c r="R14" s="49">
        <f>SUM(R$4:R$10)*0.062</f>
        <v>341</v>
      </c>
      <c r="S14" s="306">
        <v>2892.96</v>
      </c>
      <c r="T14" s="49">
        <f>SUM(T$4:T$10)*0.062</f>
        <v>6624.6944199999998</v>
      </c>
      <c r="U14" s="49">
        <f>SUM(U$4:U$10)*0.062</f>
        <v>6873.3130125999996</v>
      </c>
    </row>
    <row r="15" spans="1:21" x14ac:dyDescent="0.2">
      <c r="A15" s="283" t="s">
        <v>457</v>
      </c>
      <c r="B15" s="287" t="s">
        <v>234</v>
      </c>
      <c r="C15" s="291">
        <v>15805.44</v>
      </c>
      <c r="D15" s="355">
        <v>6585.6</v>
      </c>
      <c r="E15" s="288">
        <v>16975.042560000002</v>
      </c>
      <c r="F15" s="288">
        <v>16975.042560000002</v>
      </c>
      <c r="G15" s="288">
        <v>8487.36</v>
      </c>
      <c r="H15" s="288">
        <v>18299.099999999999</v>
      </c>
      <c r="I15" s="369">
        <v>18232.32</v>
      </c>
      <c r="J15" s="288">
        <v>9875.84</v>
      </c>
      <c r="K15" s="288">
        <v>18596.96</v>
      </c>
      <c r="L15" s="180">
        <v>10073.18</v>
      </c>
      <c r="M15" s="180">
        <v>27895.439999999999</v>
      </c>
      <c r="N15" s="180">
        <v>31890</v>
      </c>
      <c r="O15" s="180">
        <v>12000.32</v>
      </c>
      <c r="P15" s="50">
        <f t="shared" si="0"/>
        <v>1927.1399999999994</v>
      </c>
      <c r="Q15" s="229">
        <v>22611.360000000001</v>
      </c>
      <c r="R15" s="2"/>
      <c r="S15" s="306">
        <v>12247.82</v>
      </c>
      <c r="T15" s="49">
        <v>36324</v>
      </c>
      <c r="U15" s="464">
        <v>38286.720000000001</v>
      </c>
    </row>
    <row r="16" spans="1:21" x14ac:dyDescent="0.2">
      <c r="A16" s="283" t="s">
        <v>458</v>
      </c>
      <c r="B16" s="287" t="s">
        <v>236</v>
      </c>
      <c r="C16" s="292">
        <v>0</v>
      </c>
      <c r="D16" s="355">
        <v>0</v>
      </c>
      <c r="E16" s="355"/>
      <c r="F16" s="288"/>
      <c r="G16" s="288">
        <v>0</v>
      </c>
      <c r="H16" s="288"/>
      <c r="I16" s="518"/>
      <c r="J16" s="288">
        <v>0</v>
      </c>
      <c r="K16" s="288"/>
      <c r="L16" s="180">
        <v>0</v>
      </c>
      <c r="M16" s="180"/>
      <c r="N16" s="180">
        <v>0</v>
      </c>
      <c r="O16" s="180">
        <v>0</v>
      </c>
      <c r="P16" s="50">
        <f t="shared" si="0"/>
        <v>0</v>
      </c>
      <c r="Q16" s="229"/>
      <c r="R16" s="2"/>
      <c r="S16" s="306">
        <v>0</v>
      </c>
      <c r="T16" s="306">
        <v>0</v>
      </c>
      <c r="U16" s="464"/>
    </row>
    <row r="17" spans="1:21" x14ac:dyDescent="0.2">
      <c r="A17" s="283" t="s">
        <v>1581</v>
      </c>
      <c r="B17" s="287" t="s">
        <v>1571</v>
      </c>
      <c r="C17" s="292"/>
      <c r="D17" s="355"/>
      <c r="E17" s="355"/>
      <c r="F17" s="288"/>
      <c r="G17" s="288"/>
      <c r="H17" s="288"/>
      <c r="I17" s="518"/>
      <c r="J17" s="288"/>
      <c r="K17" s="288"/>
      <c r="L17" s="180"/>
      <c r="M17" s="180"/>
      <c r="N17" s="180"/>
      <c r="O17" s="180"/>
      <c r="P17" s="50"/>
      <c r="Q17" s="229">
        <v>0</v>
      </c>
      <c r="R17" s="2"/>
      <c r="S17" s="306">
        <v>1435.75</v>
      </c>
      <c r="T17" s="306">
        <v>0</v>
      </c>
      <c r="U17" s="464"/>
    </row>
    <row r="18" spans="1:21" x14ac:dyDescent="0.2">
      <c r="A18" s="283" t="s">
        <v>459</v>
      </c>
      <c r="B18" s="287" t="s">
        <v>285</v>
      </c>
      <c r="C18" s="292">
        <v>3000</v>
      </c>
      <c r="D18" s="355">
        <v>2842.56</v>
      </c>
      <c r="E18" s="355">
        <v>4000</v>
      </c>
      <c r="F18" s="355">
        <v>4000</v>
      </c>
      <c r="G18" s="288">
        <v>4017.86</v>
      </c>
      <c r="H18" s="288">
        <v>4000</v>
      </c>
      <c r="I18" s="369">
        <v>4000</v>
      </c>
      <c r="J18" s="288">
        <v>1436.71</v>
      </c>
      <c r="K18" s="288">
        <v>4000</v>
      </c>
      <c r="L18" s="180">
        <v>595.99</v>
      </c>
      <c r="M18" s="180">
        <v>4000</v>
      </c>
      <c r="N18" s="180">
        <v>4500</v>
      </c>
      <c r="O18" s="180">
        <v>2580.79</v>
      </c>
      <c r="P18" s="50">
        <f t="shared" si="0"/>
        <v>1984.8</v>
      </c>
      <c r="Q18" s="180">
        <v>4500</v>
      </c>
      <c r="R18" s="2"/>
      <c r="S18" s="306">
        <v>420.2</v>
      </c>
      <c r="T18" s="306">
        <v>5000</v>
      </c>
      <c r="U18" s="464">
        <v>5000</v>
      </c>
    </row>
    <row r="19" spans="1:21" x14ac:dyDescent="0.2">
      <c r="A19" s="283" t="s">
        <v>460</v>
      </c>
      <c r="B19" s="287" t="s">
        <v>242</v>
      </c>
      <c r="C19" s="292">
        <v>3980.69</v>
      </c>
      <c r="D19" s="355">
        <v>488.73</v>
      </c>
      <c r="E19" s="355">
        <v>3980.69</v>
      </c>
      <c r="F19" s="355">
        <v>3980.69</v>
      </c>
      <c r="G19" s="288">
        <v>1062.19</v>
      </c>
      <c r="H19" s="288">
        <v>3980.69</v>
      </c>
      <c r="I19" s="369">
        <v>3980.69</v>
      </c>
      <c r="J19" s="288">
        <v>2372.31</v>
      </c>
      <c r="K19" s="288">
        <v>3980</v>
      </c>
      <c r="L19" s="180">
        <v>2345.6799999999998</v>
      </c>
      <c r="M19" s="180">
        <v>3980</v>
      </c>
      <c r="N19" s="180">
        <v>4200</v>
      </c>
      <c r="O19" s="180">
        <v>1139.95</v>
      </c>
      <c r="P19" s="50">
        <f t="shared" si="0"/>
        <v>-1205.7299999999998</v>
      </c>
      <c r="Q19" s="180">
        <v>4200</v>
      </c>
      <c r="R19" s="2"/>
      <c r="S19" s="306">
        <v>1307.94</v>
      </c>
      <c r="T19" s="306">
        <v>4500</v>
      </c>
      <c r="U19" s="464">
        <v>6000</v>
      </c>
    </row>
    <row r="20" spans="1:21" x14ac:dyDescent="0.2">
      <c r="A20" s="283" t="s">
        <v>461</v>
      </c>
      <c r="B20" s="287" t="s">
        <v>301</v>
      </c>
      <c r="C20" s="292">
        <v>2000</v>
      </c>
      <c r="D20" s="355">
        <v>630</v>
      </c>
      <c r="E20" s="355">
        <v>1400</v>
      </c>
      <c r="F20" s="355">
        <v>1400</v>
      </c>
      <c r="G20" s="288">
        <v>685.78</v>
      </c>
      <c r="H20" s="288">
        <v>1400</v>
      </c>
      <c r="I20" s="369">
        <v>1400</v>
      </c>
      <c r="J20" s="288">
        <v>666.6</v>
      </c>
      <c r="K20" s="288">
        <v>1400</v>
      </c>
      <c r="L20" s="180">
        <v>777.49</v>
      </c>
      <c r="M20" s="180">
        <v>1400</v>
      </c>
      <c r="N20" s="180">
        <v>1400</v>
      </c>
      <c r="O20" s="180">
        <v>791.54</v>
      </c>
      <c r="P20" s="50">
        <f t="shared" si="0"/>
        <v>14.049999999999955</v>
      </c>
      <c r="Q20" s="180">
        <v>1400</v>
      </c>
      <c r="R20" s="2"/>
      <c r="S20" s="306">
        <v>701.61</v>
      </c>
      <c r="T20" s="306">
        <v>1500</v>
      </c>
      <c r="U20" s="464">
        <v>1800</v>
      </c>
    </row>
    <row r="21" spans="1:21" x14ac:dyDescent="0.2">
      <c r="A21" s="283" t="s">
        <v>462</v>
      </c>
      <c r="B21" s="287" t="s">
        <v>248</v>
      </c>
      <c r="C21" s="292">
        <v>750</v>
      </c>
      <c r="D21" s="355">
        <v>71</v>
      </c>
      <c r="E21" s="355">
        <v>750</v>
      </c>
      <c r="F21" s="355">
        <v>750</v>
      </c>
      <c r="G21" s="288">
        <v>0</v>
      </c>
      <c r="H21" s="288">
        <v>750</v>
      </c>
      <c r="I21" s="369">
        <v>750</v>
      </c>
      <c r="J21" s="288">
        <v>0</v>
      </c>
      <c r="K21" s="288">
        <v>1800</v>
      </c>
      <c r="L21" s="180">
        <v>2609.25</v>
      </c>
      <c r="M21" s="180">
        <v>1000</v>
      </c>
      <c r="N21" s="180">
        <v>1000</v>
      </c>
      <c r="O21" s="180">
        <v>0</v>
      </c>
      <c r="P21" s="50">
        <f t="shared" si="0"/>
        <v>-2609.25</v>
      </c>
      <c r="Q21" s="180">
        <v>1000</v>
      </c>
      <c r="R21" s="2"/>
      <c r="S21" s="306">
        <v>0</v>
      </c>
      <c r="T21" s="306">
        <v>1000</v>
      </c>
      <c r="U21" s="464">
        <v>4000</v>
      </c>
    </row>
    <row r="22" spans="1:21" x14ac:dyDescent="0.2">
      <c r="A22" s="283" t="s">
        <v>463</v>
      </c>
      <c r="B22" s="287" t="s">
        <v>250</v>
      </c>
      <c r="C22" s="292">
        <v>3000</v>
      </c>
      <c r="D22" s="355">
        <v>1405.99</v>
      </c>
      <c r="E22" s="355">
        <v>3000</v>
      </c>
      <c r="F22" s="355">
        <v>3000</v>
      </c>
      <c r="G22" s="288">
        <v>667.59</v>
      </c>
      <c r="H22" s="288">
        <v>3000</v>
      </c>
      <c r="I22" s="369">
        <v>3000</v>
      </c>
      <c r="J22" s="288">
        <v>0</v>
      </c>
      <c r="K22" s="288">
        <v>3000</v>
      </c>
      <c r="L22" s="180">
        <v>880.4</v>
      </c>
      <c r="M22" s="180">
        <v>3000</v>
      </c>
      <c r="N22" s="180">
        <v>4000</v>
      </c>
      <c r="O22" s="180">
        <v>1370.05</v>
      </c>
      <c r="P22" s="50">
        <f t="shared" si="0"/>
        <v>489.65</v>
      </c>
      <c r="Q22" s="180">
        <v>4000</v>
      </c>
      <c r="R22" s="2"/>
      <c r="S22" s="306">
        <v>1793.63</v>
      </c>
      <c r="T22" s="306">
        <v>4500</v>
      </c>
      <c r="U22" s="464">
        <v>5000</v>
      </c>
    </row>
    <row r="23" spans="1:21" x14ac:dyDescent="0.2">
      <c r="A23" s="283" t="s">
        <v>464</v>
      </c>
      <c r="B23" s="287" t="s">
        <v>465</v>
      </c>
      <c r="C23" s="292">
        <v>200</v>
      </c>
      <c r="D23" s="355">
        <v>190</v>
      </c>
      <c r="E23" s="355">
        <v>200</v>
      </c>
      <c r="F23" s="355">
        <v>200</v>
      </c>
      <c r="G23" s="288">
        <v>120</v>
      </c>
      <c r="H23" s="288">
        <v>200</v>
      </c>
      <c r="I23" s="369">
        <v>200</v>
      </c>
      <c r="J23" s="288">
        <v>215</v>
      </c>
      <c r="K23" s="288">
        <v>200</v>
      </c>
      <c r="L23" s="180">
        <v>110</v>
      </c>
      <c r="M23" s="180">
        <v>200</v>
      </c>
      <c r="N23" s="180">
        <v>200</v>
      </c>
      <c r="O23" s="180">
        <v>125</v>
      </c>
      <c r="P23" s="50">
        <f t="shared" si="0"/>
        <v>15</v>
      </c>
      <c r="Q23" s="180">
        <v>200</v>
      </c>
      <c r="R23" s="2"/>
      <c r="S23" s="306">
        <v>150</v>
      </c>
      <c r="T23" s="306">
        <v>200</v>
      </c>
      <c r="U23" s="544">
        <v>200</v>
      </c>
    </row>
    <row r="24" spans="1:21" x14ac:dyDescent="0.2">
      <c r="A24" s="283" t="s">
        <v>466</v>
      </c>
      <c r="B24" s="287" t="s">
        <v>254</v>
      </c>
      <c r="C24" s="292">
        <v>2250</v>
      </c>
      <c r="D24" s="355">
        <v>1125.81</v>
      </c>
      <c r="E24" s="355">
        <v>2250</v>
      </c>
      <c r="F24" s="355">
        <v>2250</v>
      </c>
      <c r="G24" s="288">
        <v>1146.3</v>
      </c>
      <c r="H24" s="288">
        <v>2250</v>
      </c>
      <c r="I24" s="369">
        <v>2500</v>
      </c>
      <c r="J24" s="288">
        <v>1357.5</v>
      </c>
      <c r="K24" s="288">
        <v>2500</v>
      </c>
      <c r="L24" s="180">
        <v>1181.96</v>
      </c>
      <c r="M24" s="180">
        <v>2700</v>
      </c>
      <c r="N24" s="180">
        <v>2700</v>
      </c>
      <c r="O24" s="180">
        <v>0</v>
      </c>
      <c r="P24" s="50">
        <f t="shared" si="0"/>
        <v>-1181.96</v>
      </c>
      <c r="Q24" s="180">
        <v>2700</v>
      </c>
      <c r="R24" s="2"/>
      <c r="S24" s="306">
        <v>0</v>
      </c>
      <c r="T24" s="306">
        <v>250</v>
      </c>
      <c r="U24" s="544">
        <v>250</v>
      </c>
    </row>
    <row r="25" spans="1:21" x14ac:dyDescent="0.2">
      <c r="A25" s="283" t="s">
        <v>467</v>
      </c>
      <c r="B25" s="287" t="s">
        <v>468</v>
      </c>
      <c r="C25" s="292">
        <v>700</v>
      </c>
      <c r="D25" s="355">
        <v>0</v>
      </c>
      <c r="E25" s="355">
        <v>700</v>
      </c>
      <c r="F25" s="355">
        <v>700</v>
      </c>
      <c r="G25" s="288">
        <v>366</v>
      </c>
      <c r="H25" s="288">
        <v>700</v>
      </c>
      <c r="I25" s="369">
        <v>700</v>
      </c>
      <c r="J25" s="288">
        <v>0</v>
      </c>
      <c r="K25" s="288">
        <v>700</v>
      </c>
      <c r="L25" s="180">
        <v>0</v>
      </c>
      <c r="M25" s="180">
        <v>0</v>
      </c>
      <c r="N25" s="180">
        <v>0</v>
      </c>
      <c r="O25" s="180">
        <v>0</v>
      </c>
      <c r="P25" s="50">
        <f t="shared" si="0"/>
        <v>0</v>
      </c>
      <c r="Q25" s="229"/>
      <c r="R25" s="2"/>
      <c r="S25" s="306">
        <v>0</v>
      </c>
      <c r="T25" s="306">
        <v>0</v>
      </c>
      <c r="U25" s="544"/>
    </row>
    <row r="26" spans="1:21" x14ac:dyDescent="0.2">
      <c r="A26" s="283" t="s">
        <v>469</v>
      </c>
      <c r="B26" s="287" t="s">
        <v>383</v>
      </c>
      <c r="C26" s="292">
        <v>300</v>
      </c>
      <c r="D26" s="355">
        <v>0</v>
      </c>
      <c r="E26" s="355">
        <v>300</v>
      </c>
      <c r="F26" s="355">
        <v>300</v>
      </c>
      <c r="G26" s="288">
        <v>0</v>
      </c>
      <c r="H26" s="288">
        <v>300</v>
      </c>
      <c r="I26" s="369">
        <v>300</v>
      </c>
      <c r="J26" s="288">
        <v>0</v>
      </c>
      <c r="K26" s="288">
        <v>300</v>
      </c>
      <c r="L26" s="180">
        <v>36.5</v>
      </c>
      <c r="M26" s="180">
        <v>300</v>
      </c>
      <c r="N26" s="180">
        <v>300</v>
      </c>
      <c r="O26" s="180">
        <v>0</v>
      </c>
      <c r="P26" s="50">
        <f t="shared" si="0"/>
        <v>-36.5</v>
      </c>
      <c r="Q26" s="180">
        <v>300</v>
      </c>
      <c r="R26" s="2"/>
      <c r="S26" s="306">
        <v>0</v>
      </c>
      <c r="T26" s="306">
        <v>300</v>
      </c>
      <c r="U26" s="544">
        <v>300</v>
      </c>
    </row>
    <row r="27" spans="1:21" x14ac:dyDescent="0.2">
      <c r="A27" s="283" t="s">
        <v>470</v>
      </c>
      <c r="B27" s="287" t="s">
        <v>471</v>
      </c>
      <c r="C27" s="292">
        <v>100</v>
      </c>
      <c r="D27" s="355">
        <v>0</v>
      </c>
      <c r="E27" s="355">
        <v>100</v>
      </c>
      <c r="F27" s="355">
        <v>100</v>
      </c>
      <c r="G27" s="288">
        <v>0</v>
      </c>
      <c r="H27" s="288">
        <v>100</v>
      </c>
      <c r="I27" s="369">
        <v>100</v>
      </c>
      <c r="J27" s="288">
        <v>0</v>
      </c>
      <c r="K27" s="288">
        <v>100</v>
      </c>
      <c r="L27" s="180">
        <v>0</v>
      </c>
      <c r="M27" s="180">
        <v>100</v>
      </c>
      <c r="N27" s="180">
        <v>500</v>
      </c>
      <c r="O27" s="180">
        <v>0</v>
      </c>
      <c r="P27" s="50">
        <f t="shared" si="0"/>
        <v>0</v>
      </c>
      <c r="Q27" s="180">
        <v>500</v>
      </c>
      <c r="R27" s="2"/>
      <c r="S27" s="306">
        <v>388.55</v>
      </c>
      <c r="T27" s="306">
        <v>500</v>
      </c>
      <c r="U27" s="544">
        <v>500</v>
      </c>
    </row>
    <row r="28" spans="1:21" x14ac:dyDescent="0.2">
      <c r="A28" s="283" t="s">
        <v>472</v>
      </c>
      <c r="B28" s="287" t="s">
        <v>258</v>
      </c>
      <c r="C28" s="292">
        <v>500</v>
      </c>
      <c r="D28" s="355">
        <v>131</v>
      </c>
      <c r="E28" s="355">
        <v>500</v>
      </c>
      <c r="F28" s="355">
        <v>500</v>
      </c>
      <c r="G28" s="288">
        <v>499.98</v>
      </c>
      <c r="H28" s="288">
        <v>500</v>
      </c>
      <c r="I28" s="369">
        <v>500</v>
      </c>
      <c r="J28" s="288">
        <v>0</v>
      </c>
      <c r="K28" s="288">
        <v>500</v>
      </c>
      <c r="L28" s="180">
        <v>0</v>
      </c>
      <c r="M28" s="180">
        <v>500</v>
      </c>
      <c r="N28" s="180">
        <v>500</v>
      </c>
      <c r="O28" s="180">
        <v>423.4</v>
      </c>
      <c r="P28" s="50">
        <f t="shared" si="0"/>
        <v>423.4</v>
      </c>
      <c r="Q28" s="180">
        <v>500</v>
      </c>
      <c r="R28" s="2"/>
      <c r="S28" s="306">
        <v>1210.22</v>
      </c>
      <c r="T28" s="306">
        <v>500</v>
      </c>
      <c r="U28" s="544">
        <v>500</v>
      </c>
    </row>
    <row r="29" spans="1:21" x14ac:dyDescent="0.2">
      <c r="A29" s="283" t="s">
        <v>473</v>
      </c>
      <c r="B29" s="287" t="s">
        <v>474</v>
      </c>
      <c r="C29" s="292">
        <v>13768.33</v>
      </c>
      <c r="D29" s="355">
        <v>7109.16</v>
      </c>
      <c r="E29" s="355">
        <v>14247.46</v>
      </c>
      <c r="F29" s="355">
        <v>14247.46</v>
      </c>
      <c r="G29" s="288">
        <v>7123.74</v>
      </c>
      <c r="H29" s="288">
        <v>14808.05</v>
      </c>
      <c r="I29" s="369">
        <v>14808.05</v>
      </c>
      <c r="J29" s="288">
        <v>10965.89</v>
      </c>
      <c r="K29" s="288">
        <v>15326.33</v>
      </c>
      <c r="L29" s="180">
        <v>11365.17</v>
      </c>
      <c r="M29" s="180">
        <v>16101.07</v>
      </c>
      <c r="N29" s="180">
        <v>21519.33</v>
      </c>
      <c r="O29" s="180">
        <v>16520.150000000001</v>
      </c>
      <c r="P29" s="50">
        <f t="shared" si="0"/>
        <v>5154.9800000000014</v>
      </c>
      <c r="Q29" s="180">
        <v>21519.33</v>
      </c>
      <c r="R29" s="2"/>
      <c r="S29" s="306">
        <v>16247.09</v>
      </c>
      <c r="T29" s="49">
        <v>23908</v>
      </c>
      <c r="U29" s="464">
        <v>26277</v>
      </c>
    </row>
    <row r="30" spans="1:21" x14ac:dyDescent="0.2">
      <c r="A30" s="283"/>
      <c r="B30" s="287" t="s">
        <v>1455</v>
      </c>
      <c r="C30" s="292"/>
      <c r="D30" s="355"/>
      <c r="E30" s="355"/>
      <c r="F30" s="355"/>
      <c r="G30" s="288"/>
      <c r="H30" s="288"/>
      <c r="I30" s="369"/>
      <c r="J30" s="288"/>
      <c r="K30" s="288"/>
      <c r="L30" s="180"/>
      <c r="M30" s="180"/>
      <c r="N30" s="180">
        <v>0</v>
      </c>
      <c r="O30" s="180">
        <v>0</v>
      </c>
      <c r="P30" s="50">
        <f t="shared" si="0"/>
        <v>0</v>
      </c>
      <c r="Q30" s="229"/>
      <c r="R30" s="2"/>
      <c r="S30" s="306">
        <v>0</v>
      </c>
      <c r="T30" s="306">
        <v>0</v>
      </c>
      <c r="U30" s="464"/>
    </row>
    <row r="31" spans="1:21" x14ac:dyDescent="0.2">
      <c r="A31" s="283" t="s">
        <v>475</v>
      </c>
      <c r="B31" s="287" t="s">
        <v>1539</v>
      </c>
      <c r="C31" s="292"/>
      <c r="D31" s="355"/>
      <c r="E31" s="355"/>
      <c r="F31" s="355"/>
      <c r="G31" s="288"/>
      <c r="H31" s="288"/>
      <c r="I31" s="369"/>
      <c r="J31" s="288"/>
      <c r="K31" s="288"/>
      <c r="L31" s="180">
        <v>0</v>
      </c>
      <c r="M31" s="180"/>
      <c r="N31" s="180">
        <v>0</v>
      </c>
      <c r="O31" s="180">
        <v>0</v>
      </c>
      <c r="P31" s="50">
        <f t="shared" si="0"/>
        <v>0</v>
      </c>
      <c r="Q31" s="229"/>
      <c r="R31" s="2"/>
      <c r="S31" s="306">
        <v>0</v>
      </c>
      <c r="T31" s="306">
        <v>0</v>
      </c>
      <c r="U31" s="464"/>
    </row>
    <row r="32" spans="1:21" x14ac:dyDescent="0.2">
      <c r="A32" s="283" t="s">
        <v>476</v>
      </c>
      <c r="B32" s="287" t="s">
        <v>477</v>
      </c>
      <c r="C32" s="292"/>
      <c r="D32" s="355"/>
      <c r="E32" s="355"/>
      <c r="F32" s="355"/>
      <c r="G32" s="288"/>
      <c r="H32" s="288"/>
      <c r="I32" s="369"/>
      <c r="J32" s="288"/>
      <c r="K32" s="288"/>
      <c r="L32" s="180">
        <v>0</v>
      </c>
      <c r="M32" s="180"/>
      <c r="N32" s="180">
        <v>0</v>
      </c>
      <c r="O32" s="180">
        <v>0</v>
      </c>
      <c r="P32" s="50">
        <f t="shared" si="0"/>
        <v>0</v>
      </c>
      <c r="Q32" s="229"/>
      <c r="R32" s="2"/>
      <c r="S32" s="306">
        <v>359</v>
      </c>
      <c r="T32" s="49">
        <v>360</v>
      </c>
      <c r="U32" s="464">
        <v>400</v>
      </c>
    </row>
    <row r="33" spans="1:22" x14ac:dyDescent="0.2">
      <c r="A33" s="283" t="s">
        <v>478</v>
      </c>
      <c r="B33" s="287" t="s">
        <v>479</v>
      </c>
      <c r="C33" s="292"/>
      <c r="D33" s="355"/>
      <c r="E33" s="355"/>
      <c r="F33" s="355"/>
      <c r="G33" s="288"/>
      <c r="H33" s="288"/>
      <c r="I33" s="369"/>
      <c r="J33" s="288"/>
      <c r="K33" s="288"/>
      <c r="L33" s="180"/>
      <c r="M33" s="180"/>
      <c r="N33" s="180"/>
      <c r="O33" s="180">
        <v>0</v>
      </c>
      <c r="P33" s="50">
        <f t="shared" si="0"/>
        <v>0</v>
      </c>
      <c r="Q33" s="229"/>
      <c r="R33" s="2"/>
      <c r="S33" s="306">
        <v>0</v>
      </c>
      <c r="T33" s="306">
        <v>0</v>
      </c>
      <c r="U33" s="464"/>
    </row>
    <row r="34" spans="1:22" x14ac:dyDescent="0.2">
      <c r="A34" s="283" t="s">
        <v>480</v>
      </c>
      <c r="B34" s="287" t="s">
        <v>481</v>
      </c>
      <c r="C34" s="292"/>
      <c r="D34" s="355"/>
      <c r="E34" s="355"/>
      <c r="F34" s="355"/>
      <c r="G34" s="288"/>
      <c r="H34" s="288"/>
      <c r="I34" s="369"/>
      <c r="J34" s="288"/>
      <c r="K34" s="288"/>
      <c r="L34" s="180">
        <v>0</v>
      </c>
      <c r="M34" s="180"/>
      <c r="N34" s="180"/>
      <c r="O34" s="180">
        <v>0</v>
      </c>
      <c r="P34" s="50">
        <f t="shared" si="0"/>
        <v>0</v>
      </c>
      <c r="Q34" s="229"/>
      <c r="R34" s="2"/>
      <c r="S34" s="288">
        <v>0</v>
      </c>
      <c r="T34" s="306"/>
      <c r="U34" s="464"/>
    </row>
    <row r="35" spans="1:22" ht="28.5" x14ac:dyDescent="0.2">
      <c r="A35" s="283"/>
      <c r="B35" s="520" t="s">
        <v>1412</v>
      </c>
      <c r="C35" s="292"/>
      <c r="D35" s="355"/>
      <c r="E35" s="355">
        <v>1200</v>
      </c>
      <c r="F35" s="355">
        <v>1200</v>
      </c>
      <c r="G35" s="288">
        <v>1139.98</v>
      </c>
      <c r="H35" s="288"/>
      <c r="I35" s="369"/>
      <c r="J35" s="288"/>
      <c r="K35" s="288"/>
      <c r="L35" s="180"/>
      <c r="M35" s="180"/>
      <c r="N35" s="180">
        <v>690</v>
      </c>
      <c r="O35" s="180">
        <v>690</v>
      </c>
      <c r="P35" s="50">
        <f t="shared" si="0"/>
        <v>690</v>
      </c>
      <c r="Q35" s="50">
        <f>SUM(P35-M35)</f>
        <v>690</v>
      </c>
      <c r="R35" s="2"/>
      <c r="S35" s="288">
        <v>0</v>
      </c>
      <c r="T35" s="49"/>
      <c r="U35" s="464"/>
    </row>
    <row r="36" spans="1:22" x14ac:dyDescent="0.2">
      <c r="A36" s="283"/>
      <c r="B36" s="287" t="s">
        <v>1456</v>
      </c>
      <c r="C36" s="292">
        <v>3200</v>
      </c>
      <c r="D36" s="355">
        <v>3200</v>
      </c>
      <c r="E36" s="355"/>
      <c r="F36" s="355"/>
      <c r="G36" s="288"/>
      <c r="H36" s="288"/>
      <c r="I36" s="369"/>
      <c r="J36" s="288"/>
      <c r="K36" s="288"/>
      <c r="L36" s="180"/>
      <c r="M36" s="180"/>
      <c r="N36" s="180"/>
      <c r="O36" s="180">
        <v>0</v>
      </c>
      <c r="P36" s="50">
        <f t="shared" si="0"/>
        <v>0</v>
      </c>
      <c r="Q36" s="50">
        <f>SUM(P36-M36)</f>
        <v>0</v>
      </c>
      <c r="R36" s="2"/>
      <c r="S36" s="288">
        <v>0</v>
      </c>
      <c r="T36" s="49">
        <v>690</v>
      </c>
      <c r="U36" s="278">
        <v>690</v>
      </c>
    </row>
    <row r="37" spans="1:22" x14ac:dyDescent="0.2">
      <c r="A37" s="283"/>
      <c r="B37" s="287"/>
      <c r="C37" s="292"/>
      <c r="D37" s="355"/>
      <c r="E37" s="355"/>
      <c r="F37" s="355"/>
      <c r="G37" s="288"/>
      <c r="H37" s="288">
        <v>250</v>
      </c>
      <c r="I37" s="369">
        <v>250</v>
      </c>
      <c r="J37" s="288"/>
      <c r="K37" s="288">
        <v>250</v>
      </c>
      <c r="L37" s="180"/>
      <c r="M37" s="180">
        <v>0</v>
      </c>
      <c r="N37" s="180"/>
      <c r="O37" s="180">
        <v>0</v>
      </c>
      <c r="P37" s="50">
        <f t="shared" si="0"/>
        <v>0</v>
      </c>
      <c r="Q37" s="50">
        <f>SUM(P37-M37)</f>
        <v>0</v>
      </c>
      <c r="R37" s="2"/>
      <c r="S37" s="288">
        <v>0</v>
      </c>
      <c r="T37" s="49"/>
      <c r="U37" s="278"/>
    </row>
    <row r="38" spans="1:22" ht="15" x14ac:dyDescent="0.25">
      <c r="A38" s="283"/>
      <c r="B38" s="287" t="s">
        <v>1621</v>
      </c>
      <c r="C38" s="292"/>
      <c r="D38" s="355"/>
      <c r="E38" s="355"/>
      <c r="F38" s="355"/>
      <c r="G38" s="288"/>
      <c r="H38" s="288"/>
      <c r="I38" s="369"/>
      <c r="J38" s="288"/>
      <c r="K38" s="288"/>
      <c r="L38" s="180"/>
      <c r="M38" s="180"/>
      <c r="N38" s="180"/>
      <c r="O38" s="180">
        <v>0</v>
      </c>
      <c r="P38" s="50">
        <f t="shared" si="0"/>
        <v>0</v>
      </c>
      <c r="Q38" s="50">
        <f>SUM(P38-M38)</f>
        <v>0</v>
      </c>
      <c r="R38" s="2"/>
      <c r="S38" s="198">
        <v>0</v>
      </c>
      <c r="T38" s="49">
        <v>200</v>
      </c>
      <c r="U38" s="278">
        <v>200</v>
      </c>
    </row>
    <row r="39" spans="1:22" x14ac:dyDescent="0.2">
      <c r="A39" s="283"/>
      <c r="B39" s="287" t="s">
        <v>1518</v>
      </c>
      <c r="C39" s="292"/>
      <c r="D39" s="355"/>
      <c r="E39" s="355"/>
      <c r="F39" s="355"/>
      <c r="G39" s="288"/>
      <c r="H39" s="288"/>
      <c r="I39" s="369"/>
      <c r="J39" s="288"/>
      <c r="K39" s="288"/>
      <c r="L39" s="180"/>
      <c r="M39" s="180"/>
      <c r="N39" s="180">
        <v>4900</v>
      </c>
      <c r="O39" s="180">
        <v>5450</v>
      </c>
      <c r="P39" s="50">
        <f t="shared" si="0"/>
        <v>5450</v>
      </c>
      <c r="Q39" s="50">
        <f>SUM(P39-M39)</f>
        <v>5450</v>
      </c>
      <c r="R39" s="50">
        <f>SUM(Q39-N39)</f>
        <v>550</v>
      </c>
      <c r="S39" s="50">
        <v>0</v>
      </c>
      <c r="T39" s="50">
        <v>5450</v>
      </c>
      <c r="U39" s="464">
        <v>5450</v>
      </c>
    </row>
    <row r="40" spans="1:22" x14ac:dyDescent="0.2">
      <c r="A40" s="283" t="s">
        <v>1649</v>
      </c>
      <c r="B40" s="287" t="s">
        <v>805</v>
      </c>
      <c r="C40" s="292"/>
      <c r="D40" s="355"/>
      <c r="E40" s="355"/>
      <c r="F40" s="355"/>
      <c r="G40" s="288"/>
      <c r="H40" s="288"/>
      <c r="I40" s="369"/>
      <c r="J40" s="288"/>
      <c r="K40" s="288"/>
      <c r="L40" s="180"/>
      <c r="M40" s="180"/>
      <c r="N40" s="180"/>
      <c r="O40" s="180"/>
      <c r="P40" s="50"/>
      <c r="Q40" s="50"/>
      <c r="R40" s="50"/>
      <c r="S40" s="50"/>
      <c r="T40" s="50"/>
      <c r="U40" s="464">
        <v>0</v>
      </c>
    </row>
    <row r="41" spans="1:22" ht="15" x14ac:dyDescent="0.25">
      <c r="A41" s="280"/>
      <c r="B41" s="294" t="s">
        <v>169</v>
      </c>
      <c r="C41" s="417">
        <f>SUM(C4:C36)</f>
        <v>118664.65037900001</v>
      </c>
      <c r="D41" s="521">
        <f>SUM(D4:D36)</f>
        <v>57612.53</v>
      </c>
      <c r="E41" s="522">
        <f>SUM(E4:E36)</f>
        <v>138460.002179</v>
      </c>
      <c r="F41" s="523">
        <f>SUM(F4:F36)</f>
        <v>122625.936545</v>
      </c>
      <c r="G41" s="523">
        <f>SUM(G4:G35)</f>
        <v>61444.860000000008</v>
      </c>
      <c r="H41" s="523">
        <f t="shared" ref="H41:M41" si="1">SUM(H4:H37)</f>
        <v>56147.839999999997</v>
      </c>
      <c r="I41" s="432">
        <f t="shared" si="1"/>
        <v>127262.74366165001</v>
      </c>
      <c r="J41" s="288">
        <f t="shared" si="1"/>
        <v>64483.95</v>
      </c>
      <c r="K41" s="288">
        <f t="shared" si="1"/>
        <v>139983.10364999998</v>
      </c>
      <c r="L41" s="198">
        <f t="shared" si="1"/>
        <v>69914.34</v>
      </c>
      <c r="M41" s="198">
        <f t="shared" si="1"/>
        <v>173616.22</v>
      </c>
      <c r="N41" s="198">
        <f>SUM(N4:N39)</f>
        <v>183423.57</v>
      </c>
      <c r="O41" s="198">
        <f>SUM(O4:O39)</f>
        <v>88725.450000000012</v>
      </c>
      <c r="P41" s="50">
        <f t="shared" si="0"/>
        <v>18811.110000000015</v>
      </c>
      <c r="Q41" s="198">
        <f>SUM(Q4:Q39)</f>
        <v>180126.16600000003</v>
      </c>
      <c r="R41" s="198">
        <f>SUM(R4:R39)</f>
        <v>7015.25</v>
      </c>
      <c r="S41" s="198">
        <f>SUM(S4:S39)</f>
        <v>90089.249999999985</v>
      </c>
      <c r="T41" s="198">
        <f>SUM(T4:T39)</f>
        <v>210356.66956499999</v>
      </c>
      <c r="U41" s="198">
        <v>223617.47909894999</v>
      </c>
      <c r="V41" s="46"/>
    </row>
    <row r="42" spans="1:22" ht="15" x14ac:dyDescent="0.25">
      <c r="A42" s="293"/>
      <c r="B42" s="293"/>
      <c r="C42" s="287"/>
      <c r="D42" s="355"/>
      <c r="E42" s="356"/>
      <c r="F42" s="288"/>
      <c r="G42" s="288"/>
      <c r="H42" s="288"/>
      <c r="I42" s="518"/>
      <c r="J42" s="288"/>
      <c r="K42" s="288"/>
      <c r="L42" s="180"/>
      <c r="M42" s="180"/>
      <c r="N42" s="49"/>
      <c r="O42" s="180"/>
      <c r="P42" s="232"/>
      <c r="Q42" s="2"/>
      <c r="R42" s="2"/>
      <c r="S42" s="2"/>
      <c r="T42" s="49"/>
      <c r="U42" s="2"/>
      <c r="V42" s="621"/>
    </row>
    <row r="43" spans="1:22" x14ac:dyDescent="0.2">
      <c r="A43" s="293"/>
      <c r="B43" s="293"/>
      <c r="C43" s="287"/>
      <c r="D43" s="354"/>
      <c r="E43" s="354"/>
      <c r="F43" s="288"/>
      <c r="G43" s="288"/>
      <c r="H43" s="288"/>
      <c r="I43" s="518"/>
      <c r="J43" s="49"/>
      <c r="K43" s="49"/>
      <c r="L43" s="180"/>
      <c r="M43" s="180"/>
      <c r="N43" s="49"/>
      <c r="O43" s="180"/>
      <c r="P43" s="232"/>
      <c r="Q43" s="2"/>
      <c r="R43" s="2"/>
      <c r="S43" s="2"/>
      <c r="T43" s="49"/>
      <c r="U43" s="2"/>
    </row>
    <row r="44" spans="1:22" x14ac:dyDescent="0.2">
      <c r="A44" s="293"/>
      <c r="B44" s="293"/>
      <c r="C44" s="287"/>
      <c r="D44" s="355"/>
      <c r="E44" s="354"/>
      <c r="F44" s="288"/>
      <c r="G44" s="288"/>
      <c r="H44" s="288"/>
      <c r="I44" s="518"/>
      <c r="J44" s="49"/>
      <c r="K44" s="49"/>
      <c r="L44" s="180"/>
      <c r="M44" s="180"/>
      <c r="N44" s="49"/>
      <c r="O44" s="180"/>
      <c r="P44" s="232"/>
      <c r="Q44" s="2"/>
      <c r="R44" s="2"/>
      <c r="S44" s="2"/>
      <c r="T44" s="49"/>
      <c r="U44" s="2"/>
    </row>
    <row r="45" spans="1:22" ht="15" x14ac:dyDescent="0.2">
      <c r="B45" s="524"/>
      <c r="D45" s="525"/>
      <c r="E45" s="526"/>
    </row>
    <row r="46" spans="1:22" x14ac:dyDescent="0.2">
      <c r="D46" s="525"/>
      <c r="E46" s="526"/>
    </row>
    <row r="47" spans="1:22" x14ac:dyDescent="0.2">
      <c r="D47" s="525"/>
      <c r="E47" s="526"/>
    </row>
    <row r="48" spans="1:22" x14ac:dyDescent="0.2">
      <c r="D48" s="525"/>
      <c r="E48" s="526"/>
    </row>
    <row r="49" spans="4:5" x14ac:dyDescent="0.2">
      <c r="D49" s="525"/>
      <c r="E49" s="526"/>
    </row>
    <row r="50" spans="4:5" x14ac:dyDescent="0.2">
      <c r="D50" s="525"/>
      <c r="E50" s="526"/>
    </row>
    <row r="51" spans="4:5" ht="15" x14ac:dyDescent="0.25">
      <c r="D51" s="527"/>
      <c r="E51" s="526"/>
    </row>
    <row r="52" spans="4:5" x14ac:dyDescent="0.2">
      <c r="D52" s="525"/>
      <c r="E52" s="526"/>
    </row>
    <row r="53" spans="4:5" x14ac:dyDescent="0.2">
      <c r="D53" s="525"/>
      <c r="E53" s="526"/>
    </row>
    <row r="54" spans="4:5" x14ac:dyDescent="0.2">
      <c r="D54" s="525"/>
      <c r="E54" s="526"/>
    </row>
    <row r="55" spans="4:5" ht="15" x14ac:dyDescent="0.25">
      <c r="D55" s="528"/>
      <c r="E55" s="526"/>
    </row>
    <row r="56" spans="4:5" ht="15" x14ac:dyDescent="0.25">
      <c r="D56" s="528"/>
      <c r="E56" s="526"/>
    </row>
    <row r="57" spans="4:5" x14ac:dyDescent="0.2">
      <c r="D57" s="525"/>
      <c r="E57" s="526"/>
    </row>
    <row r="58" spans="4:5" x14ac:dyDescent="0.2">
      <c r="D58" s="529"/>
      <c r="E58" s="526"/>
    </row>
    <row r="59" spans="4:5" x14ac:dyDescent="0.2">
      <c r="D59" s="525"/>
      <c r="E59" s="526"/>
    </row>
    <row r="60" spans="4:5" x14ac:dyDescent="0.2">
      <c r="D60" s="525"/>
      <c r="E60" s="526"/>
    </row>
    <row r="61" spans="4:5" x14ac:dyDescent="0.2">
      <c r="D61" s="525"/>
      <c r="E61" s="526"/>
    </row>
    <row r="62" spans="4:5" x14ac:dyDescent="0.2">
      <c r="D62" s="525"/>
      <c r="E62" s="526"/>
    </row>
    <row r="63" spans="4:5" x14ac:dyDescent="0.2">
      <c r="D63" s="525"/>
      <c r="E63" s="526"/>
    </row>
    <row r="64" spans="4:5" x14ac:dyDescent="0.2">
      <c r="D64" s="525"/>
      <c r="E64" s="526"/>
    </row>
    <row r="65" spans="4:5" x14ac:dyDescent="0.2">
      <c r="D65" s="525"/>
      <c r="E65" s="526"/>
    </row>
    <row r="66" spans="4:5" x14ac:dyDescent="0.2">
      <c r="D66" s="525"/>
      <c r="E66" s="526"/>
    </row>
    <row r="67" spans="4:5" x14ac:dyDescent="0.2">
      <c r="D67" s="525"/>
      <c r="E67" s="526"/>
    </row>
    <row r="68" spans="4:5" x14ac:dyDescent="0.2">
      <c r="D68" s="525"/>
      <c r="E68" s="526"/>
    </row>
    <row r="69" spans="4:5" x14ac:dyDescent="0.2">
      <c r="D69" s="525"/>
      <c r="E69" s="526"/>
    </row>
    <row r="70" spans="4:5" x14ac:dyDescent="0.2">
      <c r="D70" s="525"/>
      <c r="E70" s="526"/>
    </row>
    <row r="71" spans="4:5" x14ac:dyDescent="0.2">
      <c r="D71" s="525"/>
      <c r="E71" s="526"/>
    </row>
    <row r="72" spans="4:5" x14ac:dyDescent="0.2">
      <c r="D72" s="526"/>
      <c r="E72" s="526"/>
    </row>
    <row r="73" spans="4:5" x14ac:dyDescent="0.2">
      <c r="D73" s="526"/>
      <c r="E73" s="526"/>
    </row>
    <row r="74" spans="4:5" x14ac:dyDescent="0.2">
      <c r="D74" s="526"/>
      <c r="E74" s="526"/>
    </row>
    <row r="75" spans="4:5" x14ac:dyDescent="0.2">
      <c r="D75" s="526"/>
      <c r="E75" s="526"/>
    </row>
    <row r="76" spans="4:5" x14ac:dyDescent="0.2">
      <c r="D76" s="526"/>
      <c r="E76" s="526"/>
    </row>
    <row r="77" spans="4:5" x14ac:dyDescent="0.2">
      <c r="D77" s="526"/>
      <c r="E77" s="526"/>
    </row>
    <row r="78" spans="4:5" x14ac:dyDescent="0.2">
      <c r="D78" s="526"/>
      <c r="E78" s="526"/>
    </row>
  </sheetData>
  <phoneticPr fontId="24" type="noConversion"/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CC15C-1676-45A5-A47B-A197E6EDE81B}">
  <dimension ref="A1:K17"/>
  <sheetViews>
    <sheetView tabSelected="1" workbookViewId="0">
      <selection activeCell="J8" sqref="J8:J17"/>
    </sheetView>
  </sheetViews>
  <sheetFormatPr defaultRowHeight="14.25" x14ac:dyDescent="0.2"/>
  <cols>
    <col min="1" max="1" width="11.5" customWidth="1"/>
    <col min="2" max="2" width="47.25" customWidth="1"/>
    <col min="3" max="3" width="12" hidden="1" customWidth="1"/>
    <col min="4" max="4" width="14.75" hidden="1" customWidth="1"/>
    <col min="5" max="5" width="12" style="172" hidden="1" customWidth="1"/>
    <col min="6" max="6" width="11.375" hidden="1" customWidth="1"/>
    <col min="7" max="7" width="11.875" hidden="1" customWidth="1"/>
    <col min="8" max="8" width="10.875" hidden="1" customWidth="1"/>
    <col min="9" max="9" width="14.625" style="172" hidden="1" customWidth="1"/>
    <col min="10" max="10" width="13.625" customWidth="1"/>
  </cols>
  <sheetData>
    <row r="1" spans="1:11" x14ac:dyDescent="0.2">
      <c r="F1" s="2"/>
      <c r="G1" s="2"/>
    </row>
    <row r="2" spans="1:11" ht="43.5" customHeight="1" x14ac:dyDescent="0.25">
      <c r="A2" s="30"/>
      <c r="B2" s="31" t="s">
        <v>1457</v>
      </c>
      <c r="C2" s="508" t="s">
        <v>1504</v>
      </c>
      <c r="D2" s="509" t="s">
        <v>1494</v>
      </c>
      <c r="E2" s="510" t="s">
        <v>1505</v>
      </c>
      <c r="F2" s="266" t="s">
        <v>1582</v>
      </c>
      <c r="G2" s="2"/>
      <c r="H2" s="268" t="s">
        <v>1568</v>
      </c>
      <c r="I2" s="488" t="s">
        <v>1634</v>
      </c>
      <c r="J2" s="488" t="s">
        <v>1686</v>
      </c>
      <c r="K2" s="511"/>
    </row>
    <row r="3" spans="1:11" x14ac:dyDescent="0.2">
      <c r="A3" s="2" t="s">
        <v>1458</v>
      </c>
      <c r="B3" s="2" t="s">
        <v>1468</v>
      </c>
      <c r="C3" s="229">
        <v>26043</v>
      </c>
      <c r="D3" s="229">
        <v>26824.29</v>
      </c>
      <c r="E3" s="138">
        <v>27824.29</v>
      </c>
      <c r="F3" s="138">
        <v>27824.29</v>
      </c>
      <c r="G3" s="229">
        <f>SUM(F3-C3)</f>
        <v>1781.2900000000009</v>
      </c>
      <c r="H3" s="270">
        <v>13151.88</v>
      </c>
      <c r="I3" s="49">
        <v>30566</v>
      </c>
      <c r="J3" s="49">
        <f>SUM(I$3*1.03)</f>
        <v>31482.98</v>
      </c>
    </row>
    <row r="4" spans="1:11" x14ac:dyDescent="0.2">
      <c r="A4" s="2" t="s">
        <v>1459</v>
      </c>
      <c r="B4" s="2" t="s">
        <v>226</v>
      </c>
      <c r="C4" s="229">
        <v>200</v>
      </c>
      <c r="D4" s="229"/>
      <c r="E4" s="138">
        <v>200</v>
      </c>
      <c r="F4" s="138">
        <v>200</v>
      </c>
      <c r="G4" s="138"/>
      <c r="H4" s="270">
        <v>37.04</v>
      </c>
      <c r="I4" s="49">
        <v>150</v>
      </c>
      <c r="J4" s="50">
        <v>200</v>
      </c>
    </row>
    <row r="5" spans="1:11" x14ac:dyDescent="0.2">
      <c r="A5" s="2" t="s">
        <v>1460</v>
      </c>
      <c r="B5" s="2" t="s">
        <v>228</v>
      </c>
      <c r="C5" s="229">
        <v>2890.77</v>
      </c>
      <c r="D5" s="229"/>
      <c r="E5" s="49">
        <f>SUM(E$3)*0.099</f>
        <v>2754.6047100000001</v>
      </c>
      <c r="F5" s="49">
        <f>SUM(F$3)*0.099</f>
        <v>2754.6047100000001</v>
      </c>
      <c r="G5" s="49">
        <f>SUM(G$3)*0.099</f>
        <v>176.34771000000009</v>
      </c>
      <c r="H5" s="353">
        <v>1476.02</v>
      </c>
      <c r="I5" s="49">
        <f>SUM(I$3)*0.095</f>
        <v>2903.77</v>
      </c>
      <c r="J5" s="49">
        <f>SUM(J$3)*0.085</f>
        <v>2676.0533</v>
      </c>
    </row>
    <row r="6" spans="1:11" x14ac:dyDescent="0.2">
      <c r="A6" s="2" t="s">
        <v>1461</v>
      </c>
      <c r="B6" s="2" t="s">
        <v>230</v>
      </c>
      <c r="C6" s="229">
        <v>377.62</v>
      </c>
      <c r="D6" s="229"/>
      <c r="E6" s="49">
        <f>SUM(E$3)*0.0145</f>
        <v>403.45220500000005</v>
      </c>
      <c r="F6" s="49">
        <f>SUM(F$3)*0.0145</f>
        <v>403.45220500000005</v>
      </c>
      <c r="G6" s="49">
        <f>SUM(G$3)*0.0145</f>
        <v>25.828705000000014</v>
      </c>
      <c r="H6" s="353">
        <v>207.27</v>
      </c>
      <c r="I6" s="49">
        <f>SUM(I$3)*0.0145</f>
        <v>443.20700000000005</v>
      </c>
      <c r="J6" s="49">
        <f>SUM(J$3)*0.0145</f>
        <v>456.50321000000002</v>
      </c>
    </row>
    <row r="7" spans="1:11" x14ac:dyDescent="0.2">
      <c r="A7" s="2" t="s">
        <v>1462</v>
      </c>
      <c r="B7" s="2" t="s">
        <v>232</v>
      </c>
      <c r="C7" s="229">
        <v>1614.67</v>
      </c>
      <c r="D7" s="229"/>
      <c r="E7" s="49">
        <f>SUM(E$3)*0.062</f>
        <v>1725.10598</v>
      </c>
      <c r="F7" s="49">
        <f>SUM(F$3)*0.062</f>
        <v>1725.10598</v>
      </c>
      <c r="G7" s="49">
        <f>SUM(G$3)*0.062</f>
        <v>110.43998000000005</v>
      </c>
      <c r="H7" s="306">
        <v>886.15</v>
      </c>
      <c r="I7" s="49">
        <f>SUM(I$3)*0.062</f>
        <v>1895.0920000000001</v>
      </c>
      <c r="J7" s="49">
        <f>SUM(J$3)*0.062</f>
        <v>1951.9447599999999</v>
      </c>
    </row>
    <row r="8" spans="1:11" x14ac:dyDescent="0.2">
      <c r="A8" s="2" t="s">
        <v>1463</v>
      </c>
      <c r="B8" s="2" t="s">
        <v>1469</v>
      </c>
      <c r="C8" s="229">
        <v>10630</v>
      </c>
      <c r="D8" s="229"/>
      <c r="E8" s="138">
        <v>11305.68</v>
      </c>
      <c r="F8" s="138">
        <v>11305.68</v>
      </c>
      <c r="G8" s="49"/>
      <c r="H8" s="306">
        <v>6123.91</v>
      </c>
      <c r="I8" s="49">
        <v>12108</v>
      </c>
      <c r="J8" s="50">
        <v>12762.24</v>
      </c>
    </row>
    <row r="9" spans="1:11" x14ac:dyDescent="0.2">
      <c r="A9" s="2" t="s">
        <v>1583</v>
      </c>
      <c r="B9" s="2" t="s">
        <v>1571</v>
      </c>
      <c r="C9" s="229"/>
      <c r="D9" s="229"/>
      <c r="E9" s="138"/>
      <c r="F9" s="138">
        <v>0</v>
      </c>
      <c r="G9" s="49"/>
      <c r="H9" s="306">
        <v>892.89</v>
      </c>
      <c r="I9" s="49"/>
      <c r="J9" s="50"/>
    </row>
    <row r="10" spans="1:11" x14ac:dyDescent="0.2">
      <c r="A10" s="2" t="s">
        <v>1464</v>
      </c>
      <c r="B10" s="2" t="s">
        <v>285</v>
      </c>
      <c r="C10" s="229">
        <v>2500</v>
      </c>
      <c r="D10" s="229">
        <v>2500</v>
      </c>
      <c r="E10" s="229">
        <v>2500</v>
      </c>
      <c r="F10" s="229">
        <v>2500</v>
      </c>
      <c r="G10" s="229"/>
      <c r="H10" s="306">
        <v>2120.5100000000002</v>
      </c>
      <c r="I10" s="49">
        <v>2500</v>
      </c>
      <c r="J10" s="50">
        <v>3000</v>
      </c>
    </row>
    <row r="11" spans="1:11" x14ac:dyDescent="0.2">
      <c r="A11" s="2" t="s">
        <v>1465</v>
      </c>
      <c r="B11" s="2" t="s">
        <v>242</v>
      </c>
      <c r="C11" s="229">
        <v>1500</v>
      </c>
      <c r="D11" s="229">
        <v>1500</v>
      </c>
      <c r="E11" s="229">
        <v>1500</v>
      </c>
      <c r="F11" s="229">
        <v>1500</v>
      </c>
      <c r="G11" s="229"/>
      <c r="H11" s="270">
        <v>905.49</v>
      </c>
      <c r="I11" s="49">
        <v>1500</v>
      </c>
      <c r="J11" s="50">
        <v>2000</v>
      </c>
    </row>
    <row r="12" spans="1:11" x14ac:dyDescent="0.2">
      <c r="A12" s="2" t="s">
        <v>1466</v>
      </c>
      <c r="B12" s="2" t="s">
        <v>248</v>
      </c>
      <c r="C12" s="229">
        <v>400</v>
      </c>
      <c r="D12" s="229">
        <v>400</v>
      </c>
      <c r="E12" s="229">
        <v>400</v>
      </c>
      <c r="F12" s="229">
        <v>400</v>
      </c>
      <c r="G12" s="229"/>
      <c r="H12" s="306">
        <v>0</v>
      </c>
      <c r="I12" s="49">
        <v>400</v>
      </c>
      <c r="J12" s="50">
        <v>1000</v>
      </c>
    </row>
    <row r="13" spans="1:11" x14ac:dyDescent="0.2">
      <c r="A13" s="2" t="s">
        <v>1467</v>
      </c>
      <c r="B13" s="2" t="s">
        <v>1470</v>
      </c>
      <c r="C13" s="229">
        <v>750</v>
      </c>
      <c r="D13" s="229">
        <v>750</v>
      </c>
      <c r="E13" s="229">
        <v>750</v>
      </c>
      <c r="F13" s="229">
        <v>750</v>
      </c>
      <c r="G13" s="229"/>
      <c r="H13" s="306">
        <v>0</v>
      </c>
      <c r="I13" s="49">
        <v>250</v>
      </c>
      <c r="J13" s="50">
        <v>250</v>
      </c>
    </row>
    <row r="14" spans="1:11" x14ac:dyDescent="0.2">
      <c r="A14" s="2" t="s">
        <v>1463</v>
      </c>
      <c r="B14" s="2" t="s">
        <v>1471</v>
      </c>
      <c r="C14" s="229">
        <v>3500</v>
      </c>
      <c r="D14" s="229">
        <v>0</v>
      </c>
      <c r="E14" s="229">
        <v>3500</v>
      </c>
      <c r="F14" s="229">
        <v>3500</v>
      </c>
      <c r="G14" s="229"/>
      <c r="H14" s="306">
        <v>886.16</v>
      </c>
      <c r="I14" s="49">
        <v>3750</v>
      </c>
      <c r="J14" s="50">
        <v>3750</v>
      </c>
    </row>
    <row r="15" spans="1:11" x14ac:dyDescent="0.2">
      <c r="A15" s="2"/>
      <c r="B15" s="2" t="s">
        <v>1622</v>
      </c>
      <c r="C15" s="229"/>
      <c r="D15" s="229"/>
      <c r="E15" s="229"/>
      <c r="F15" s="229"/>
      <c r="G15" s="229"/>
      <c r="H15" s="306"/>
      <c r="I15" s="477">
        <v>600</v>
      </c>
      <c r="J15" s="50">
        <v>762</v>
      </c>
    </row>
    <row r="16" spans="1:11" x14ac:dyDescent="0.2">
      <c r="A16" s="2"/>
      <c r="B16" s="2" t="s">
        <v>1540</v>
      </c>
      <c r="C16" s="229"/>
      <c r="D16" s="229">
        <v>2185</v>
      </c>
      <c r="E16" s="229">
        <v>2185</v>
      </c>
      <c r="F16" s="229">
        <v>2185</v>
      </c>
      <c r="G16" s="229"/>
      <c r="H16" s="306">
        <v>1650</v>
      </c>
      <c r="I16" s="49">
        <v>2500</v>
      </c>
      <c r="J16" s="50">
        <v>2660</v>
      </c>
    </row>
    <row r="17" spans="1:10" ht="15" x14ac:dyDescent="0.25">
      <c r="A17" s="2"/>
      <c r="B17" s="144" t="s">
        <v>169</v>
      </c>
      <c r="C17" s="230">
        <f>SUM(C3:C14)</f>
        <v>50406.06</v>
      </c>
      <c r="D17" s="230">
        <f t="shared" ref="D17:I17" si="0">SUM(D3:D16)</f>
        <v>34159.29</v>
      </c>
      <c r="E17" s="230">
        <f t="shared" si="0"/>
        <v>55048.132895000002</v>
      </c>
      <c r="F17" s="230">
        <f t="shared" si="0"/>
        <v>55048.132895000002</v>
      </c>
      <c r="G17" s="230">
        <f t="shared" si="0"/>
        <v>2093.9063950000009</v>
      </c>
      <c r="H17" s="230">
        <f t="shared" si="0"/>
        <v>28337.32</v>
      </c>
      <c r="I17" s="230">
        <f t="shared" si="0"/>
        <v>59566.068999999996</v>
      </c>
      <c r="J17" s="7">
        <f>SUM(J3:J16)</f>
        <v>62951.721270000002</v>
      </c>
    </row>
  </sheetData>
  <phoneticPr fontId="24" type="noConversion"/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F6"/>
  <sheetViews>
    <sheetView workbookViewId="0">
      <selection activeCell="E1" sqref="E1:E1048576"/>
    </sheetView>
  </sheetViews>
  <sheetFormatPr defaultRowHeight="14.25" x14ac:dyDescent="0.2"/>
  <cols>
    <col min="1" max="1" width="12.375" customWidth="1"/>
    <col min="2" max="2" width="17.25" customWidth="1"/>
    <col min="3" max="3" width="12.375" hidden="1" customWidth="1"/>
    <col min="4" max="4" width="14.25" hidden="1" customWidth="1"/>
    <col min="5" max="5" width="12.5" hidden="1" customWidth="1"/>
    <col min="6" max="6" width="12.5" customWidth="1"/>
  </cols>
  <sheetData>
    <row r="2" spans="1:6" ht="47.25" x14ac:dyDescent="0.25">
      <c r="A2" s="30"/>
      <c r="B2" s="31" t="s">
        <v>1562</v>
      </c>
      <c r="C2" s="47" t="s">
        <v>1569</v>
      </c>
      <c r="D2" s="268" t="s">
        <v>1568</v>
      </c>
      <c r="E2" s="418" t="s">
        <v>1634</v>
      </c>
      <c r="F2" s="418" t="s">
        <v>1686</v>
      </c>
    </row>
    <row r="3" spans="1:6" x14ac:dyDescent="0.2">
      <c r="A3" s="2" t="s">
        <v>1563</v>
      </c>
      <c r="B3" s="2" t="s">
        <v>1439</v>
      </c>
      <c r="C3" s="23">
        <v>2400</v>
      </c>
      <c r="D3" s="270">
        <v>352.38</v>
      </c>
      <c r="E3" s="3">
        <v>3000</v>
      </c>
      <c r="F3" s="3">
        <v>3000</v>
      </c>
    </row>
    <row r="4" spans="1:6" x14ac:dyDescent="0.2">
      <c r="A4" s="2" t="s">
        <v>1564</v>
      </c>
      <c r="B4" s="2" t="s">
        <v>230</v>
      </c>
      <c r="C4" s="42">
        <f>SUM(C$3)*0.0145</f>
        <v>34.800000000000004</v>
      </c>
      <c r="D4" s="270">
        <v>5.1100000000000003</v>
      </c>
      <c r="E4" s="42">
        <f>SUM(E$3)*0.0145</f>
        <v>43.5</v>
      </c>
      <c r="F4" s="42">
        <f>SUM(F$3)*0.0145</f>
        <v>43.5</v>
      </c>
    </row>
    <row r="5" spans="1:6" x14ac:dyDescent="0.2">
      <c r="A5" s="2" t="s">
        <v>1565</v>
      </c>
      <c r="B5" s="2" t="s">
        <v>232</v>
      </c>
      <c r="C5" s="42">
        <f>SUM(C$3)*0.062</f>
        <v>148.80000000000001</v>
      </c>
      <c r="D5" s="271">
        <v>21.85</v>
      </c>
      <c r="E5" s="42">
        <f>SUM(E$3)*0.062</f>
        <v>186</v>
      </c>
      <c r="F5" s="42">
        <f>SUM(F$3)*0.062</f>
        <v>186</v>
      </c>
    </row>
    <row r="6" spans="1:6" x14ac:dyDescent="0.2">
      <c r="A6" s="2"/>
      <c r="B6" s="2"/>
      <c r="C6" s="243">
        <f>SUM(C3:C5)</f>
        <v>2583.6000000000004</v>
      </c>
      <c r="D6" s="243">
        <f>SUM(D3:D5)</f>
        <v>379.34000000000003</v>
      </c>
      <c r="E6" s="407">
        <f>SUM(E3:E5)</f>
        <v>3229.5</v>
      </c>
      <c r="F6" s="407">
        <f>SUM(F3:F5)</f>
        <v>3229.5</v>
      </c>
    </row>
  </sheetData>
  <phoneticPr fontId="24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9"/>
  <sheetViews>
    <sheetView zoomScale="117" zoomScaleNormal="117" workbookViewId="0">
      <selection sqref="A1:XFD1048576"/>
    </sheetView>
  </sheetViews>
  <sheetFormatPr defaultRowHeight="14.25" x14ac:dyDescent="0.2"/>
  <cols>
    <col min="1" max="1" width="12.375" customWidth="1"/>
    <col min="2" max="2" width="36.375" customWidth="1"/>
    <col min="3" max="3" width="14.75" hidden="1" customWidth="1"/>
    <col min="4" max="4" width="12.75" hidden="1" customWidth="1"/>
    <col min="5" max="5" width="13.375" hidden="1" customWidth="1"/>
    <col min="6" max="6" width="11.875" customWidth="1"/>
    <col min="7" max="7" width="12" hidden="1" customWidth="1"/>
    <col min="8" max="8" width="12.75" customWidth="1"/>
  </cols>
  <sheetData>
    <row r="1" spans="1:8" ht="45" x14ac:dyDescent="0.25">
      <c r="A1" s="2"/>
      <c r="B1" s="228" t="s">
        <v>1421</v>
      </c>
      <c r="C1" s="143" t="s">
        <v>1504</v>
      </c>
      <c r="D1" s="143" t="s">
        <v>1494</v>
      </c>
      <c r="E1" s="143" t="s">
        <v>1506</v>
      </c>
      <c r="F1" s="47" t="s">
        <v>1582</v>
      </c>
      <c r="G1" s="47" t="s">
        <v>1612</v>
      </c>
      <c r="H1" s="47" t="s">
        <v>1611</v>
      </c>
    </row>
    <row r="2" spans="1:8" x14ac:dyDescent="0.2">
      <c r="A2" s="44"/>
      <c r="B2" s="44"/>
      <c r="C2" s="42"/>
      <c r="D2" s="42"/>
      <c r="E2" s="42"/>
      <c r="F2" s="44"/>
      <c r="G2" s="404"/>
      <c r="H2" s="404"/>
    </row>
    <row r="3" spans="1:8" x14ac:dyDescent="0.2">
      <c r="A3" s="44" t="s">
        <v>1422</v>
      </c>
      <c r="B3" s="44" t="s">
        <v>1439</v>
      </c>
      <c r="C3" s="42">
        <v>43437.13</v>
      </c>
      <c r="D3" s="42"/>
      <c r="E3" s="155">
        <v>42246</v>
      </c>
      <c r="F3" s="155">
        <v>42246</v>
      </c>
      <c r="G3" s="301">
        <v>0</v>
      </c>
      <c r="H3" s="155"/>
    </row>
    <row r="4" spans="1:8" x14ac:dyDescent="0.2">
      <c r="A4" s="44" t="s">
        <v>1423</v>
      </c>
      <c r="B4" s="44" t="s">
        <v>492</v>
      </c>
      <c r="C4" s="42">
        <v>0</v>
      </c>
      <c r="D4" s="42"/>
      <c r="E4" s="42"/>
      <c r="F4" s="42"/>
      <c r="G4" s="301"/>
      <c r="H4" s="42"/>
    </row>
    <row r="5" spans="1:8" x14ac:dyDescent="0.2">
      <c r="A5" s="44" t="s">
        <v>1424</v>
      </c>
      <c r="B5" s="44" t="s">
        <v>1440</v>
      </c>
      <c r="C5" s="42">
        <v>745</v>
      </c>
      <c r="D5" s="42"/>
      <c r="E5" s="42">
        <v>650</v>
      </c>
      <c r="F5" s="42">
        <v>650</v>
      </c>
      <c r="G5" s="299"/>
      <c r="H5" s="42"/>
    </row>
    <row r="6" spans="1:8" x14ac:dyDescent="0.2">
      <c r="A6" s="44" t="s">
        <v>1425</v>
      </c>
      <c r="B6" s="44" t="s">
        <v>228</v>
      </c>
      <c r="C6" s="42">
        <v>4821.5200000000004</v>
      </c>
      <c r="D6" s="42">
        <f ca="1">SUM(D$4:D$7)*0.099</f>
        <v>8456.6295000000009</v>
      </c>
      <c r="E6" s="42">
        <f>SUM(E$3)*0.099</f>
        <v>4182.3540000000003</v>
      </c>
      <c r="F6" s="42">
        <f>SUM(F$3)*0.099</f>
        <v>4182.3540000000003</v>
      </c>
      <c r="G6" s="299"/>
      <c r="H6" s="42"/>
    </row>
    <row r="7" spans="1:8" x14ac:dyDescent="0.2">
      <c r="A7" s="44" t="s">
        <v>1426</v>
      </c>
      <c r="B7" s="44" t="s">
        <v>230</v>
      </c>
      <c r="C7" s="42">
        <v>629.84</v>
      </c>
      <c r="D7" s="42">
        <f ca="1">SUM(D$4:D$9)*0.0145</f>
        <v>1366.29337775</v>
      </c>
      <c r="E7" s="42">
        <f>SUM(E$3)*0.0145</f>
        <v>612.56700000000001</v>
      </c>
      <c r="F7" s="42">
        <f>SUM(F$3)*0.0145</f>
        <v>612.56700000000001</v>
      </c>
      <c r="G7" s="300"/>
      <c r="H7" s="42"/>
    </row>
    <row r="8" spans="1:8" x14ac:dyDescent="0.2">
      <c r="A8" s="44" t="s">
        <v>1427</v>
      </c>
      <c r="B8" s="44" t="s">
        <v>232</v>
      </c>
      <c r="C8" s="42">
        <v>2693.1</v>
      </c>
      <c r="D8" s="42">
        <f ca="1">SUM(D$5:D$10)*0.062</f>
        <v>3397.1922184205</v>
      </c>
      <c r="E8" s="42">
        <f>SUM(E$3)*0.062</f>
        <v>2619.252</v>
      </c>
      <c r="F8" s="42">
        <f>SUM(F$3)*0.062</f>
        <v>2619.252</v>
      </c>
      <c r="G8" s="300"/>
      <c r="H8" s="42"/>
    </row>
    <row r="9" spans="1:8" x14ac:dyDescent="0.2">
      <c r="A9" s="44" t="s">
        <v>1428</v>
      </c>
      <c r="B9" s="44" t="s">
        <v>234</v>
      </c>
      <c r="C9" s="42">
        <v>10630</v>
      </c>
      <c r="D9" s="42"/>
      <c r="E9" s="42">
        <v>11305.68</v>
      </c>
      <c r="F9" s="42">
        <v>11305.68</v>
      </c>
      <c r="G9" s="300"/>
      <c r="H9" s="42"/>
    </row>
    <row r="10" spans="1:8" x14ac:dyDescent="0.2">
      <c r="A10" s="44" t="s">
        <v>1429</v>
      </c>
      <c r="B10" s="44" t="s">
        <v>368</v>
      </c>
      <c r="C10" s="42">
        <v>400</v>
      </c>
      <c r="D10" s="42"/>
      <c r="E10" s="42">
        <v>400</v>
      </c>
      <c r="F10" s="42">
        <v>400</v>
      </c>
      <c r="G10" s="301"/>
      <c r="H10" s="42"/>
    </row>
    <row r="11" spans="1:8" x14ac:dyDescent="0.2">
      <c r="A11" s="44" t="s">
        <v>1472</v>
      </c>
      <c r="B11" s="44" t="s">
        <v>1473</v>
      </c>
      <c r="C11" s="42">
        <v>600</v>
      </c>
      <c r="D11" s="42"/>
      <c r="E11" s="42">
        <v>600</v>
      </c>
      <c r="F11" s="42">
        <v>600</v>
      </c>
      <c r="G11" s="300"/>
      <c r="H11" s="42"/>
    </row>
    <row r="12" spans="1:8" x14ac:dyDescent="0.2">
      <c r="A12" s="44" t="s">
        <v>1430</v>
      </c>
      <c r="B12" s="44" t="s">
        <v>1441</v>
      </c>
      <c r="C12" s="42">
        <v>0</v>
      </c>
      <c r="D12" s="42"/>
      <c r="E12" s="42"/>
      <c r="F12" s="42"/>
      <c r="G12" s="300"/>
      <c r="H12" s="44"/>
    </row>
    <row r="13" spans="1:8" x14ac:dyDescent="0.2">
      <c r="A13" s="44" t="s">
        <v>1431</v>
      </c>
      <c r="B13" s="44" t="s">
        <v>260</v>
      </c>
      <c r="C13" s="42">
        <v>0</v>
      </c>
      <c r="D13" s="42"/>
      <c r="E13" s="42"/>
      <c r="F13" s="42"/>
      <c r="G13" s="300"/>
      <c r="H13" s="44"/>
    </row>
    <row r="14" spans="1:8" x14ac:dyDescent="0.2">
      <c r="A14" s="44" t="s">
        <v>1432</v>
      </c>
      <c r="B14" s="44" t="s">
        <v>1442</v>
      </c>
      <c r="C14" s="42">
        <v>0</v>
      </c>
      <c r="D14" s="42"/>
      <c r="E14" s="42"/>
      <c r="F14" s="42"/>
      <c r="G14" s="300"/>
      <c r="H14" s="44"/>
    </row>
    <row r="15" spans="1:8" x14ac:dyDescent="0.2">
      <c r="A15" s="44" t="s">
        <v>1433</v>
      </c>
      <c r="B15" s="44" t="s">
        <v>1443</v>
      </c>
      <c r="C15" s="42">
        <v>0</v>
      </c>
      <c r="D15" s="42"/>
      <c r="E15" s="42"/>
      <c r="F15" s="42"/>
      <c r="G15" s="300"/>
      <c r="H15" s="44"/>
    </row>
    <row r="16" spans="1:8" x14ac:dyDescent="0.2">
      <c r="A16" s="44" t="s">
        <v>1434</v>
      </c>
      <c r="B16" s="44" t="s">
        <v>1444</v>
      </c>
      <c r="C16" s="42">
        <v>0</v>
      </c>
      <c r="D16" s="42"/>
      <c r="E16" s="42"/>
      <c r="F16" s="42"/>
      <c r="G16" s="300"/>
      <c r="H16" s="44"/>
    </row>
    <row r="17" spans="1:8" x14ac:dyDescent="0.2">
      <c r="A17" s="44" t="s">
        <v>1435</v>
      </c>
      <c r="B17" s="44" t="s">
        <v>1445</v>
      </c>
      <c r="C17" s="42">
        <v>0</v>
      </c>
      <c r="D17" s="42"/>
      <c r="E17" s="42"/>
      <c r="F17" s="42"/>
      <c r="G17" s="300"/>
      <c r="H17" s="44"/>
    </row>
    <row r="18" spans="1:8" x14ac:dyDescent="0.2">
      <c r="A18" s="44" t="s">
        <v>1436</v>
      </c>
      <c r="B18" s="44" t="s">
        <v>548</v>
      </c>
      <c r="C18" s="42"/>
      <c r="D18" s="42"/>
      <c r="E18" s="42"/>
      <c r="F18" s="42"/>
      <c r="G18" s="300"/>
      <c r="H18" s="44"/>
    </row>
    <row r="19" spans="1:8" x14ac:dyDescent="0.2">
      <c r="A19" s="44" t="s">
        <v>1437</v>
      </c>
      <c r="B19" s="44" t="s">
        <v>1446</v>
      </c>
      <c r="C19" s="42"/>
      <c r="D19" s="42"/>
      <c r="E19" s="42"/>
      <c r="F19" s="42"/>
      <c r="G19" s="300"/>
      <c r="H19" s="44"/>
    </row>
    <row r="20" spans="1:8" x14ac:dyDescent="0.2">
      <c r="A20" s="44" t="s">
        <v>1438</v>
      </c>
      <c r="B20" s="44" t="s">
        <v>1447</v>
      </c>
      <c r="C20" s="42"/>
      <c r="D20" s="42"/>
      <c r="E20" s="42"/>
      <c r="F20" s="42"/>
      <c r="G20" s="300"/>
      <c r="H20" s="44"/>
    </row>
    <row r="21" spans="1:8" x14ac:dyDescent="0.2">
      <c r="A21" s="44"/>
      <c r="B21" s="44"/>
      <c r="C21" s="42"/>
      <c r="D21" s="42"/>
      <c r="E21" s="42"/>
      <c r="F21" s="42"/>
      <c r="G21" s="300"/>
      <c r="H21" s="44"/>
    </row>
    <row r="22" spans="1:8" x14ac:dyDescent="0.2">
      <c r="A22" s="44"/>
      <c r="B22" s="44"/>
      <c r="C22" s="42"/>
      <c r="D22" s="42"/>
      <c r="E22" s="42"/>
      <c r="F22" s="42"/>
      <c r="G22" s="300"/>
      <c r="H22" s="44"/>
    </row>
    <row r="23" spans="1:8" x14ac:dyDescent="0.2">
      <c r="A23" s="44"/>
      <c r="B23" s="405" t="s">
        <v>169</v>
      </c>
      <c r="C23" s="406">
        <f t="shared" ref="C23:H23" si="0">SUM(C3:C20)</f>
        <v>63956.589999999989</v>
      </c>
      <c r="D23" s="406">
        <f t="shared" ca="1" si="0"/>
        <v>63956.589999999989</v>
      </c>
      <c r="E23" s="406">
        <f t="shared" si="0"/>
        <v>62615.853000000003</v>
      </c>
      <c r="F23" s="406">
        <f t="shared" si="0"/>
        <v>62615.853000000003</v>
      </c>
      <c r="G23" s="406">
        <f t="shared" si="0"/>
        <v>0</v>
      </c>
      <c r="H23" s="406">
        <f t="shared" si="0"/>
        <v>0</v>
      </c>
    </row>
    <row r="24" spans="1:8" x14ac:dyDescent="0.2">
      <c r="A24" s="44"/>
      <c r="B24" s="44"/>
      <c r="C24" s="42"/>
      <c r="D24" s="42"/>
      <c r="E24" s="42"/>
      <c r="F24" s="44"/>
      <c r="G24" s="300"/>
      <c r="H24" s="44"/>
    </row>
    <row r="25" spans="1:8" x14ac:dyDescent="0.2">
      <c r="A25" s="44"/>
      <c r="B25" s="44"/>
      <c r="C25" s="42"/>
      <c r="D25" s="42"/>
      <c r="E25" s="42"/>
      <c r="F25" s="44"/>
      <c r="G25" s="300"/>
      <c r="H25" s="44"/>
    </row>
    <row r="26" spans="1:8" x14ac:dyDescent="0.2">
      <c r="A26" s="44"/>
      <c r="B26" s="44"/>
      <c r="C26" s="42"/>
      <c r="D26" s="42"/>
      <c r="E26" s="42"/>
      <c r="F26" s="44"/>
      <c r="G26" s="300"/>
      <c r="H26" s="44"/>
    </row>
    <row r="27" spans="1:8" x14ac:dyDescent="0.2">
      <c r="A27" s="44"/>
      <c r="B27" s="44"/>
      <c r="C27" s="42"/>
      <c r="D27" s="42"/>
      <c r="E27" s="42"/>
      <c r="F27" s="44"/>
      <c r="G27" s="300"/>
      <c r="H27" s="44"/>
    </row>
    <row r="28" spans="1:8" x14ac:dyDescent="0.2">
      <c r="A28" s="2"/>
      <c r="B28" s="2"/>
      <c r="C28" s="3"/>
      <c r="D28" s="3"/>
      <c r="E28" s="3"/>
      <c r="F28" s="2"/>
      <c r="G28" s="272"/>
      <c r="H28" s="2"/>
    </row>
    <row r="29" spans="1:8" x14ac:dyDescent="0.2">
      <c r="A29" s="2"/>
      <c r="B29" s="2"/>
      <c r="C29" s="3"/>
      <c r="D29" s="3"/>
      <c r="E29" s="3"/>
      <c r="F29" s="2"/>
      <c r="G29" s="272"/>
      <c r="H29" s="2"/>
    </row>
    <row r="30" spans="1:8" x14ac:dyDescent="0.2">
      <c r="A30" s="2"/>
      <c r="B30" s="2"/>
      <c r="C30" s="3"/>
      <c r="D30" s="3"/>
      <c r="E30" s="3"/>
      <c r="F30" s="2"/>
      <c r="G30" s="272"/>
      <c r="H30" s="2"/>
    </row>
    <row r="31" spans="1:8" x14ac:dyDescent="0.2">
      <c r="A31" s="2"/>
      <c r="B31" s="2"/>
      <c r="C31" s="3"/>
      <c r="D31" s="3"/>
      <c r="E31" s="3"/>
      <c r="F31" s="2"/>
      <c r="G31" s="272"/>
      <c r="H31" s="2"/>
    </row>
    <row r="32" spans="1:8" x14ac:dyDescent="0.2">
      <c r="A32" s="2"/>
      <c r="B32" s="2"/>
      <c r="C32" s="3"/>
      <c r="D32" s="3"/>
      <c r="E32" s="3"/>
      <c r="F32" s="2"/>
      <c r="G32" s="272"/>
      <c r="H32" s="2"/>
    </row>
    <row r="33" spans="1:8" x14ac:dyDescent="0.2">
      <c r="A33" s="2"/>
      <c r="B33" s="2"/>
      <c r="C33" s="3"/>
      <c r="D33" s="3"/>
      <c r="E33" s="3"/>
      <c r="F33" s="2"/>
      <c r="G33" s="272"/>
      <c r="H33" s="2"/>
    </row>
    <row r="34" spans="1:8" x14ac:dyDescent="0.2">
      <c r="A34" s="2"/>
      <c r="B34" s="2"/>
      <c r="C34" s="3"/>
      <c r="D34" s="3"/>
      <c r="E34" s="3"/>
      <c r="F34" s="2"/>
      <c r="G34" s="2"/>
    </row>
    <row r="35" spans="1:8" x14ac:dyDescent="0.2">
      <c r="A35" s="2"/>
      <c r="B35" s="2"/>
      <c r="C35" s="3"/>
      <c r="D35" s="3"/>
      <c r="E35" s="3"/>
      <c r="F35" s="2"/>
      <c r="G35" s="2"/>
    </row>
    <row r="36" spans="1:8" x14ac:dyDescent="0.2">
      <c r="A36" s="2"/>
      <c r="B36" s="2"/>
      <c r="C36" s="3"/>
      <c r="D36" s="3"/>
      <c r="E36" s="3"/>
      <c r="F36" s="2"/>
      <c r="G36" s="2"/>
    </row>
    <row r="37" spans="1:8" x14ac:dyDescent="0.2">
      <c r="A37" s="2"/>
      <c r="B37" s="2"/>
      <c r="C37" s="3"/>
      <c r="D37" s="3"/>
      <c r="E37" s="3"/>
      <c r="F37" s="2"/>
      <c r="G37" s="2"/>
    </row>
    <row r="38" spans="1:8" x14ac:dyDescent="0.2">
      <c r="A38" s="2"/>
      <c r="B38" s="2"/>
      <c r="C38" s="3"/>
      <c r="D38" s="3"/>
      <c r="E38" s="3"/>
      <c r="F38" s="2"/>
      <c r="G38" s="2"/>
    </row>
    <row r="39" spans="1:8" x14ac:dyDescent="0.2">
      <c r="A39" s="2"/>
      <c r="B39" s="2"/>
      <c r="C39" s="3"/>
      <c r="D39" s="3"/>
      <c r="E39" s="3"/>
      <c r="F39" s="2"/>
      <c r="G39" s="2"/>
    </row>
  </sheetData>
  <phoneticPr fontId="24" type="noConversion"/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82"/>
  <sheetViews>
    <sheetView zoomScaleNormal="100" workbookViewId="0">
      <selection activeCell="M1" sqref="M1"/>
    </sheetView>
  </sheetViews>
  <sheetFormatPr defaultRowHeight="14.25" x14ac:dyDescent="0.2"/>
  <cols>
    <col min="1" max="1" width="11.75" style="67" customWidth="1"/>
    <col min="2" max="2" width="36.375" style="68" customWidth="1"/>
    <col min="3" max="3" width="13" hidden="1" customWidth="1"/>
    <col min="4" max="4" width="12.75" style="46" hidden="1" customWidth="1"/>
    <col min="5" max="5" width="14" style="46" hidden="1" customWidth="1"/>
    <col min="6" max="6" width="12.375" hidden="1" customWidth="1"/>
    <col min="7" max="7" width="13.375" hidden="1" customWidth="1"/>
    <col min="8" max="8" width="14" hidden="1" customWidth="1"/>
    <col min="9" max="9" width="12.75" hidden="1" customWidth="1"/>
    <col min="10" max="10" width="1.25" style="46" hidden="1" customWidth="1"/>
    <col min="11" max="11" width="15.75" hidden="1" customWidth="1"/>
    <col min="12" max="12" width="14.25" style="578" hidden="1" customWidth="1"/>
    <col min="13" max="13" width="14.25" style="578" customWidth="1"/>
    <col min="14" max="14" width="13.25" hidden="1" customWidth="1"/>
    <col min="15" max="15" width="7.375" hidden="1" customWidth="1"/>
    <col min="16" max="16" width="10.25" hidden="1" customWidth="1"/>
  </cols>
  <sheetData>
    <row r="1" spans="1:16" ht="33.6" customHeight="1" x14ac:dyDescent="0.2">
      <c r="H1" s="2"/>
      <c r="M1" s="199" t="s">
        <v>1686</v>
      </c>
    </row>
    <row r="2" spans="1:16" ht="29.45" customHeight="1" x14ac:dyDescent="0.25">
      <c r="B2" s="31" t="s">
        <v>11</v>
      </c>
      <c r="C2" s="47" t="s">
        <v>1351</v>
      </c>
      <c r="D2" s="162" t="s">
        <v>1352</v>
      </c>
      <c r="E2" s="143" t="s">
        <v>1507</v>
      </c>
      <c r="F2" s="143" t="s">
        <v>1494</v>
      </c>
      <c r="G2" s="154" t="s">
        <v>1505</v>
      </c>
      <c r="H2" s="47" t="s">
        <v>1587</v>
      </c>
      <c r="I2" s="2"/>
      <c r="J2" s="269" t="s">
        <v>1568</v>
      </c>
      <c r="K2" s="568" t="s">
        <v>1634</v>
      </c>
      <c r="L2" s="584" t="s">
        <v>1638</v>
      </c>
      <c r="M2" s="238"/>
    </row>
    <row r="3" spans="1:16" x14ac:dyDescent="0.2">
      <c r="A3" s="31"/>
      <c r="B3" s="35"/>
      <c r="C3" s="151"/>
      <c r="D3" s="163"/>
      <c r="E3" s="3"/>
      <c r="F3" s="222"/>
      <c r="G3" s="231"/>
      <c r="H3" s="229"/>
      <c r="I3" s="2"/>
      <c r="J3" s="3"/>
      <c r="K3" s="612"/>
      <c r="L3" s="613"/>
      <c r="M3" s="536"/>
      <c r="N3" s="2"/>
    </row>
    <row r="4" spans="1:16" x14ac:dyDescent="0.2">
      <c r="A4" s="64" t="s">
        <v>483</v>
      </c>
      <c r="B4" s="35" t="s">
        <v>484</v>
      </c>
      <c r="C4" s="151">
        <v>21979.54</v>
      </c>
      <c r="D4" s="163">
        <v>43813</v>
      </c>
      <c r="E4" s="3">
        <v>47629.94</v>
      </c>
      <c r="F4" s="151">
        <v>22898.94</v>
      </c>
      <c r="G4" s="90">
        <v>47629</v>
      </c>
      <c r="H4" s="229">
        <v>50629.94</v>
      </c>
      <c r="I4" s="229">
        <f>SUM(H4-E4)</f>
        <v>3000</v>
      </c>
      <c r="J4" s="42">
        <v>25233.759999999998</v>
      </c>
      <c r="K4" s="614">
        <v>75000</v>
      </c>
      <c r="L4" s="614">
        <v>75000</v>
      </c>
      <c r="M4" s="615">
        <v>75000</v>
      </c>
      <c r="N4" s="229">
        <f>SUM(L4-P4)</f>
        <v>24370.059999999998</v>
      </c>
      <c r="O4" t="s">
        <v>1651</v>
      </c>
      <c r="P4" s="229">
        <v>50629.94</v>
      </c>
    </row>
    <row r="5" spans="1:16" x14ac:dyDescent="0.2">
      <c r="A5" s="64" t="s">
        <v>485</v>
      </c>
      <c r="B5" s="35" t="s">
        <v>1626</v>
      </c>
      <c r="C5" s="151"/>
      <c r="D5" s="163"/>
      <c r="E5" s="40">
        <v>0</v>
      </c>
      <c r="F5" s="151">
        <v>0</v>
      </c>
      <c r="G5" s="163">
        <v>42246</v>
      </c>
      <c r="I5" s="2"/>
      <c r="J5" s="40"/>
      <c r="K5" s="567">
        <v>90117.92</v>
      </c>
      <c r="L5" s="585">
        <v>90117.92</v>
      </c>
      <c r="M5" s="579">
        <v>90117.92</v>
      </c>
      <c r="N5" s="2"/>
      <c r="O5" t="s">
        <v>1651</v>
      </c>
    </row>
    <row r="6" spans="1:16" x14ac:dyDescent="0.2">
      <c r="A6" s="64" t="s">
        <v>486</v>
      </c>
      <c r="B6" s="34" t="s">
        <v>1385</v>
      </c>
      <c r="C6" s="151">
        <v>18538.79</v>
      </c>
      <c r="D6" s="163">
        <v>40393</v>
      </c>
      <c r="E6" s="3">
        <v>44037.13</v>
      </c>
      <c r="F6" s="151">
        <v>11355.43</v>
      </c>
      <c r="G6" s="90">
        <v>44037</v>
      </c>
      <c r="H6" s="229">
        <v>45537.13</v>
      </c>
      <c r="I6" s="229">
        <f>SUM(H6-E6)</f>
        <v>1500</v>
      </c>
      <c r="J6" s="121">
        <v>14728.28</v>
      </c>
      <c r="K6" s="567">
        <f>SUM(H$6*1)</f>
        <v>45537.13</v>
      </c>
      <c r="L6" s="585">
        <f>SUM(K$6*1)</f>
        <v>45537.13</v>
      </c>
      <c r="M6" s="579">
        <f>SUM(L$6*1)</f>
        <v>45537.13</v>
      </c>
      <c r="N6" s="199"/>
    </row>
    <row r="7" spans="1:16" x14ac:dyDescent="0.2">
      <c r="A7" s="64" t="s">
        <v>487</v>
      </c>
      <c r="B7" s="35" t="s">
        <v>274</v>
      </c>
      <c r="C7" s="151">
        <v>23620.97</v>
      </c>
      <c r="D7" s="163">
        <v>36984</v>
      </c>
      <c r="E7" s="3">
        <v>42246.559999999998</v>
      </c>
      <c r="F7" s="151">
        <v>3378.41</v>
      </c>
      <c r="G7" s="163">
        <v>42246</v>
      </c>
      <c r="H7" s="229">
        <v>43746.559999999998</v>
      </c>
      <c r="I7" s="229">
        <f>SUM(H7-E7)</f>
        <v>1500</v>
      </c>
      <c r="J7" s="121">
        <v>10042.74</v>
      </c>
      <c r="K7" s="567">
        <f>SUM(H$5*1.03)</f>
        <v>0</v>
      </c>
      <c r="L7" s="585">
        <f>SUM(K$6*1)</f>
        <v>45537.13</v>
      </c>
      <c r="M7" s="579">
        <f>SUM(L$6*1)</f>
        <v>45537.13</v>
      </c>
      <c r="N7" s="592">
        <v>75000</v>
      </c>
    </row>
    <row r="8" spans="1:16" x14ac:dyDescent="0.2">
      <c r="A8" s="64" t="s">
        <v>488</v>
      </c>
      <c r="B8" s="35" t="s">
        <v>489</v>
      </c>
      <c r="C8" s="151">
        <v>0</v>
      </c>
      <c r="D8" s="163">
        <v>1500</v>
      </c>
      <c r="E8" s="151">
        <v>1500</v>
      </c>
      <c r="F8" s="151">
        <v>520.65</v>
      </c>
      <c r="G8" s="163">
        <v>2000</v>
      </c>
      <c r="H8" s="229">
        <v>1500</v>
      </c>
      <c r="I8" s="2"/>
      <c r="J8" s="40">
        <v>0</v>
      </c>
      <c r="K8" s="585">
        <v>1500</v>
      </c>
      <c r="L8" s="585"/>
      <c r="M8" s="579"/>
      <c r="N8" s="570">
        <v>90117.92</v>
      </c>
    </row>
    <row r="9" spans="1:16" x14ac:dyDescent="0.2">
      <c r="A9" s="65" t="s">
        <v>1356</v>
      </c>
      <c r="B9" s="35" t="s">
        <v>490</v>
      </c>
      <c r="C9" s="151">
        <v>12437.64</v>
      </c>
      <c r="D9" s="163">
        <v>24915.87</v>
      </c>
      <c r="E9" s="3">
        <v>29382</v>
      </c>
      <c r="F9" s="151">
        <v>14214.78</v>
      </c>
      <c r="G9" s="90">
        <v>29382</v>
      </c>
      <c r="H9" s="229">
        <v>30882</v>
      </c>
      <c r="I9" s="229">
        <v>1500</v>
      </c>
      <c r="J9" s="42">
        <v>22913.42</v>
      </c>
      <c r="K9" s="567">
        <v>35032.36</v>
      </c>
      <c r="L9" s="585">
        <v>35032.36</v>
      </c>
      <c r="M9" s="579">
        <v>35032.36</v>
      </c>
      <c r="N9" s="570">
        <f>SUM(M$6*1)</f>
        <v>45537.13</v>
      </c>
    </row>
    <row r="10" spans="1:16" x14ac:dyDescent="0.2">
      <c r="A10" s="64" t="s">
        <v>491</v>
      </c>
      <c r="B10" s="35" t="s">
        <v>492</v>
      </c>
      <c r="C10" s="151">
        <v>0</v>
      </c>
      <c r="D10" s="163">
        <v>1000</v>
      </c>
      <c r="E10" s="3">
        <v>1000</v>
      </c>
      <c r="F10" s="151">
        <v>0</v>
      </c>
      <c r="G10" s="90"/>
      <c r="H10" s="229">
        <v>1000</v>
      </c>
      <c r="I10" s="2"/>
      <c r="J10" s="40">
        <v>0</v>
      </c>
      <c r="K10" s="567">
        <v>6000</v>
      </c>
      <c r="L10" s="585">
        <v>6000</v>
      </c>
      <c r="M10" s="579">
        <v>6000</v>
      </c>
      <c r="N10" s="570">
        <f>SUM(M$6*1)</f>
        <v>45537.13</v>
      </c>
    </row>
    <row r="11" spans="1:16" x14ac:dyDescent="0.2">
      <c r="A11" s="64" t="s">
        <v>493</v>
      </c>
      <c r="B11" s="35" t="s">
        <v>220</v>
      </c>
      <c r="C11" s="151">
        <v>0</v>
      </c>
      <c r="D11" s="163"/>
      <c r="E11" s="3">
        <v>1022.5</v>
      </c>
      <c r="F11" s="151">
        <v>547.5</v>
      </c>
      <c r="G11" s="90"/>
      <c r="H11" s="229">
        <v>990</v>
      </c>
      <c r="I11" s="2"/>
      <c r="J11" s="40">
        <v>297.5</v>
      </c>
      <c r="K11" s="567">
        <v>0</v>
      </c>
      <c r="L11" s="585">
        <v>0</v>
      </c>
      <c r="M11" s="579">
        <v>0</v>
      </c>
      <c r="N11" s="570"/>
    </row>
    <row r="12" spans="1:16" x14ac:dyDescent="0.2">
      <c r="A12" s="64"/>
      <c r="B12" s="35" t="s">
        <v>1656</v>
      </c>
      <c r="C12" s="151"/>
      <c r="D12" s="163"/>
      <c r="E12" s="3"/>
      <c r="F12" s="151"/>
      <c r="G12" s="90"/>
      <c r="H12" s="229"/>
      <c r="I12" s="2"/>
      <c r="J12" s="40"/>
      <c r="K12" s="567"/>
      <c r="L12" s="585">
        <v>180000</v>
      </c>
      <c r="M12" s="579"/>
      <c r="N12" s="579">
        <v>35032.36</v>
      </c>
    </row>
    <row r="13" spans="1:16" x14ac:dyDescent="0.2">
      <c r="A13" s="64" t="s">
        <v>494</v>
      </c>
      <c r="B13" s="35" t="s">
        <v>226</v>
      </c>
      <c r="C13" s="151">
        <v>1533.86</v>
      </c>
      <c r="D13" s="163">
        <v>6500</v>
      </c>
      <c r="E13" s="3">
        <v>4755</v>
      </c>
      <c r="F13" s="151">
        <v>865.5</v>
      </c>
      <c r="G13" s="90">
        <v>3000</v>
      </c>
      <c r="H13" s="229">
        <v>3000</v>
      </c>
      <c r="I13" s="2"/>
      <c r="J13" s="40">
        <v>1421.3</v>
      </c>
      <c r="K13" s="567">
        <v>3500</v>
      </c>
      <c r="L13" s="585">
        <v>3500</v>
      </c>
      <c r="M13" s="579">
        <v>3500</v>
      </c>
      <c r="N13" s="570">
        <v>6000</v>
      </c>
    </row>
    <row r="14" spans="1:16" x14ac:dyDescent="0.2">
      <c r="A14" s="64" t="s">
        <v>1402</v>
      </c>
      <c r="B14" s="35"/>
      <c r="C14" s="151"/>
      <c r="D14" s="163"/>
      <c r="E14" s="40"/>
      <c r="F14" s="151"/>
      <c r="G14" s="163"/>
      <c r="I14" s="2"/>
      <c r="J14" s="40"/>
      <c r="K14" s="567"/>
      <c r="L14" s="585"/>
      <c r="M14" s="579"/>
      <c r="N14" s="570">
        <v>4250</v>
      </c>
    </row>
    <row r="15" spans="1:16" x14ac:dyDescent="0.2">
      <c r="A15" s="64" t="s">
        <v>1519</v>
      </c>
      <c r="B15" s="35" t="s">
        <v>1520</v>
      </c>
      <c r="C15" s="151"/>
      <c r="D15" s="163"/>
      <c r="E15" s="40">
        <v>0</v>
      </c>
      <c r="F15" s="151">
        <v>1500</v>
      </c>
      <c r="G15" s="163">
        <v>10250</v>
      </c>
      <c r="H15" s="151">
        <v>10250</v>
      </c>
      <c r="I15" s="2"/>
      <c r="J15" s="40">
        <v>0</v>
      </c>
      <c r="K15" s="566"/>
      <c r="L15" s="585"/>
      <c r="M15" s="579">
        <v>4250</v>
      </c>
      <c r="N15" s="570">
        <f>SUM(N7:N14)</f>
        <v>301474.53999999998</v>
      </c>
    </row>
    <row r="16" spans="1:16" hidden="1" x14ac:dyDescent="0.2">
      <c r="A16" s="64" t="s">
        <v>1584</v>
      </c>
      <c r="K16" s="330"/>
      <c r="L16" s="613"/>
      <c r="M16" s="579"/>
    </row>
    <row r="17" spans="1:14" x14ac:dyDescent="0.2">
      <c r="A17" s="64" t="s">
        <v>1636</v>
      </c>
      <c r="B17" s="35" t="s">
        <v>1637</v>
      </c>
      <c r="C17" s="180"/>
      <c r="D17" s="232"/>
      <c r="E17" s="40"/>
      <c r="F17" s="180"/>
      <c r="G17" s="232"/>
      <c r="H17" s="180">
        <v>0</v>
      </c>
      <c r="I17" s="2"/>
      <c r="J17" s="40">
        <v>12657.48</v>
      </c>
      <c r="K17" s="566">
        <v>15624.96</v>
      </c>
      <c r="L17" s="585">
        <v>15624.96</v>
      </c>
      <c r="M17" s="579">
        <v>16093.73</v>
      </c>
    </row>
    <row r="18" spans="1:14" x14ac:dyDescent="0.2">
      <c r="A18" s="64" t="s">
        <v>495</v>
      </c>
      <c r="B18" s="35" t="s">
        <v>228</v>
      </c>
      <c r="C18" s="180">
        <v>9332.9500000000007</v>
      </c>
      <c r="D18" s="232">
        <f>SUM(D$4:D$11)*0.12</f>
        <v>17832.704399999999</v>
      </c>
      <c r="E18" s="40">
        <v>23206.18</v>
      </c>
      <c r="F18" s="180">
        <v>6660.53</v>
      </c>
      <c r="G18" s="153">
        <f>SUM(G$4:G$7)*0.099</f>
        <v>17439.642</v>
      </c>
      <c r="H18" s="40">
        <f>SUM(H$4:H$14)*0.099</f>
        <v>17551.27737</v>
      </c>
      <c r="I18" s="40">
        <f>SUM(I$4:I$9)*0.099</f>
        <v>742.5</v>
      </c>
      <c r="J18" s="40">
        <v>9627.8700000000008</v>
      </c>
      <c r="K18" s="567">
        <f>SUM(K$4:K$14)*0.095</f>
        <v>24385.303949999998</v>
      </c>
      <c r="L18" s="585">
        <f>SUM(L$4:L$12)*0.085</f>
        <v>40564.085899999998</v>
      </c>
      <c r="M18" s="579">
        <f>SUM($N15*0.085)</f>
        <v>25625.335900000002</v>
      </c>
    </row>
    <row r="19" spans="1:14" x14ac:dyDescent="0.2">
      <c r="A19" s="64" t="s">
        <v>496</v>
      </c>
      <c r="B19" s="35" t="s">
        <v>230</v>
      </c>
      <c r="C19" s="180">
        <v>1369.02</v>
      </c>
      <c r="D19" s="153">
        <f>SUM(D$4:D$11)*0.0145</f>
        <v>2154.7851150000001</v>
      </c>
      <c r="E19" s="40">
        <v>3031.44</v>
      </c>
      <c r="F19" s="180">
        <v>938.36</v>
      </c>
      <c r="G19" s="153">
        <f>SUM(G$4:G$8)*0.0145</f>
        <v>2583.2910000000002</v>
      </c>
      <c r="H19" s="40">
        <f>SUM(H$4:H$15)*0.0145</f>
        <v>2719.2666350000004</v>
      </c>
      <c r="I19" s="40">
        <f>SUM(I$4:I$14)*0.0145</f>
        <v>108.75</v>
      </c>
      <c r="J19" s="40">
        <v>1438.79</v>
      </c>
      <c r="K19" s="567">
        <f>SUM(K$4:K$15)*0.0145</f>
        <v>3721.9674449999998</v>
      </c>
      <c r="L19" s="585">
        <f>SUM(L$4:L$12)*0.0145</f>
        <v>6919.7558300000001</v>
      </c>
      <c r="M19" s="579">
        <f>SUM($N15)*0.0145</f>
        <v>4371.3808300000001</v>
      </c>
    </row>
    <row r="20" spans="1:14" x14ac:dyDescent="0.2">
      <c r="A20" s="64" t="s">
        <v>497</v>
      </c>
      <c r="B20" s="35" t="s">
        <v>232</v>
      </c>
      <c r="C20" s="180">
        <v>5853.51</v>
      </c>
      <c r="D20" s="153">
        <f>SUM(D$4:D$11)*0.062</f>
        <v>9213.56394</v>
      </c>
      <c r="E20" s="40">
        <v>12962.01</v>
      </c>
      <c r="F20" s="180">
        <v>4012.33</v>
      </c>
      <c r="G20" s="153">
        <f>SUM(G$5:G$9)*0.062</f>
        <v>9914.482</v>
      </c>
      <c r="H20" s="40">
        <f>SUM(H$4:H$15)*0.062</f>
        <v>11627.209060000001</v>
      </c>
      <c r="I20" s="40">
        <f>SUM(I$4:I$14)*0.062</f>
        <v>465</v>
      </c>
      <c r="J20" s="40">
        <v>6151.79</v>
      </c>
      <c r="K20" s="567">
        <f>SUM(K$4:K$15)*0.062</f>
        <v>15914.619419999999</v>
      </c>
      <c r="L20" s="585">
        <f>SUM(L$4:L$12)*0.062</f>
        <v>29587.921479999997</v>
      </c>
      <c r="M20" s="579">
        <f>SUM($N15)*0.062</f>
        <v>18691.421479999997</v>
      </c>
    </row>
    <row r="21" spans="1:14" x14ac:dyDescent="0.2">
      <c r="A21" s="64" t="s">
        <v>498</v>
      </c>
      <c r="B21" s="35" t="s">
        <v>234</v>
      </c>
      <c r="C21" s="180">
        <v>20921.22</v>
      </c>
      <c r="D21" s="232">
        <v>55788</v>
      </c>
      <c r="E21" s="180">
        <v>63780</v>
      </c>
      <c r="F21" s="180">
        <v>13269.6</v>
      </c>
      <c r="G21" s="232">
        <v>79139.759999999995</v>
      </c>
      <c r="H21" s="493">
        <v>67834.080000000002</v>
      </c>
      <c r="I21" s="305"/>
      <c r="J21" s="288">
        <v>17900.66</v>
      </c>
      <c r="K21" s="566">
        <v>69131.039999999994</v>
      </c>
      <c r="L21" s="585">
        <v>127622.39999999999</v>
      </c>
      <c r="M21" s="579">
        <v>89515.68</v>
      </c>
    </row>
    <row r="22" spans="1:14" x14ac:dyDescent="0.2">
      <c r="A22" s="64" t="s">
        <v>499</v>
      </c>
      <c r="B22" s="35" t="s">
        <v>236</v>
      </c>
      <c r="C22" s="151">
        <v>0</v>
      </c>
      <c r="D22" s="163">
        <v>2000</v>
      </c>
      <c r="E22" s="151">
        <v>2000</v>
      </c>
      <c r="F22" s="151">
        <v>0</v>
      </c>
      <c r="G22" s="163"/>
      <c r="H22" s="151"/>
      <c r="I22" s="2"/>
      <c r="J22" s="40">
        <v>0</v>
      </c>
      <c r="K22" s="330"/>
      <c r="L22" s="613"/>
      <c r="M22" s="579"/>
    </row>
    <row r="23" spans="1:14" hidden="1" x14ac:dyDescent="0.2">
      <c r="A23" s="64" t="s">
        <v>1585</v>
      </c>
      <c r="B23" s="35" t="s">
        <v>1571</v>
      </c>
      <c r="C23" s="151"/>
      <c r="D23" s="163"/>
      <c r="E23" s="151"/>
      <c r="F23" s="151"/>
      <c r="G23" s="163"/>
      <c r="H23" s="151">
        <v>0</v>
      </c>
      <c r="I23" s="2"/>
      <c r="J23" s="40">
        <v>1306</v>
      </c>
      <c r="K23" s="566">
        <v>0</v>
      </c>
      <c r="L23" s="585">
        <v>0</v>
      </c>
      <c r="M23" s="579">
        <v>0</v>
      </c>
      <c r="N23" s="570">
        <v>16093.73</v>
      </c>
    </row>
    <row r="24" spans="1:14" x14ac:dyDescent="0.2">
      <c r="A24" s="64" t="s">
        <v>500</v>
      </c>
      <c r="B24" s="35" t="s">
        <v>368</v>
      </c>
      <c r="C24" s="151">
        <v>-400</v>
      </c>
      <c r="D24" s="163">
        <v>2000</v>
      </c>
      <c r="E24" s="180">
        <v>2600</v>
      </c>
      <c r="F24" s="151">
        <v>0</v>
      </c>
      <c r="G24" s="163">
        <v>2000</v>
      </c>
      <c r="H24" s="151">
        <v>2000</v>
      </c>
      <c r="I24" s="2"/>
      <c r="J24" s="40">
        <v>1162.9000000000001</v>
      </c>
      <c r="K24" s="566">
        <v>2000</v>
      </c>
      <c r="L24" s="585">
        <v>8500</v>
      </c>
      <c r="M24" s="579">
        <v>4500</v>
      </c>
    </row>
    <row r="25" spans="1:14" x14ac:dyDescent="0.2">
      <c r="A25" s="64" t="s">
        <v>501</v>
      </c>
      <c r="B25" s="35" t="s">
        <v>502</v>
      </c>
      <c r="C25" s="151">
        <v>0</v>
      </c>
      <c r="D25" s="163">
        <v>200</v>
      </c>
      <c r="E25" s="151">
        <v>200</v>
      </c>
      <c r="F25" s="151">
        <v>0</v>
      </c>
      <c r="G25" s="163">
        <v>200</v>
      </c>
      <c r="H25" s="151">
        <v>800</v>
      </c>
      <c r="I25" s="2"/>
      <c r="J25" s="40">
        <v>0</v>
      </c>
      <c r="K25" s="566">
        <v>800</v>
      </c>
      <c r="L25" s="585">
        <v>800</v>
      </c>
      <c r="M25" s="579">
        <v>800</v>
      </c>
    </row>
    <row r="26" spans="1:14" x14ac:dyDescent="0.2">
      <c r="A26" s="64" t="s">
        <v>503</v>
      </c>
      <c r="B26" s="35" t="s">
        <v>285</v>
      </c>
      <c r="C26" s="151">
        <v>495.27</v>
      </c>
      <c r="D26" s="163">
        <v>4000</v>
      </c>
      <c r="E26" s="151">
        <v>3500</v>
      </c>
      <c r="F26" s="151">
        <v>498.76</v>
      </c>
      <c r="G26" s="163">
        <v>3500</v>
      </c>
      <c r="H26" s="151">
        <v>3500</v>
      </c>
      <c r="I26" s="2"/>
      <c r="J26" s="40">
        <v>2544.7600000000002</v>
      </c>
      <c r="K26" s="566">
        <v>3500</v>
      </c>
      <c r="L26" s="585">
        <v>4500</v>
      </c>
      <c r="M26" s="579">
        <v>4500</v>
      </c>
    </row>
    <row r="27" spans="1:14" x14ac:dyDescent="0.2">
      <c r="A27" s="64" t="s">
        <v>504</v>
      </c>
      <c r="B27" s="35" t="s">
        <v>242</v>
      </c>
      <c r="C27" s="151">
        <v>383.35</v>
      </c>
      <c r="D27" s="163">
        <v>1000</v>
      </c>
      <c r="E27" s="151">
        <v>1000</v>
      </c>
      <c r="F27" s="151">
        <v>124.42</v>
      </c>
      <c r="G27" s="163">
        <v>1000</v>
      </c>
      <c r="H27" s="151">
        <v>1000</v>
      </c>
      <c r="I27" s="2"/>
      <c r="J27" s="40">
        <v>321.98</v>
      </c>
      <c r="K27" s="566">
        <v>1000</v>
      </c>
      <c r="L27" s="585">
        <v>1000</v>
      </c>
      <c r="M27" s="579">
        <v>1000</v>
      </c>
    </row>
    <row r="28" spans="1:14" x14ac:dyDescent="0.2">
      <c r="A28" s="64" t="s">
        <v>505</v>
      </c>
      <c r="B28" s="35" t="s">
        <v>506</v>
      </c>
      <c r="C28" s="151">
        <v>0</v>
      </c>
      <c r="D28" s="163">
        <v>2000</v>
      </c>
      <c r="E28" s="151">
        <v>2000</v>
      </c>
      <c r="F28" s="151">
        <v>121.51</v>
      </c>
      <c r="G28" s="163">
        <v>1500</v>
      </c>
      <c r="H28" s="151">
        <v>1500</v>
      </c>
      <c r="I28" s="2"/>
      <c r="J28" s="40">
        <v>717.94</v>
      </c>
      <c r="K28" s="566">
        <v>1500</v>
      </c>
      <c r="L28" s="585">
        <v>1500</v>
      </c>
      <c r="M28" s="579">
        <v>1500</v>
      </c>
    </row>
    <row r="29" spans="1:14" x14ac:dyDescent="0.2">
      <c r="A29" s="64" t="s">
        <v>507</v>
      </c>
      <c r="B29" s="35" t="s">
        <v>508</v>
      </c>
      <c r="C29" s="151">
        <v>690.01</v>
      </c>
      <c r="D29" s="163">
        <v>800</v>
      </c>
      <c r="E29" s="151">
        <v>800</v>
      </c>
      <c r="F29" s="151">
        <v>480.94</v>
      </c>
      <c r="G29" s="163">
        <v>800</v>
      </c>
      <c r="H29" s="151">
        <v>800</v>
      </c>
      <c r="I29" s="2"/>
      <c r="J29" s="40">
        <v>893.53</v>
      </c>
      <c r="K29" s="566">
        <v>800</v>
      </c>
      <c r="L29" s="585">
        <v>800</v>
      </c>
      <c r="M29" s="579">
        <v>800</v>
      </c>
    </row>
    <row r="30" spans="1:14" x14ac:dyDescent="0.2">
      <c r="A30" s="64" t="s">
        <v>509</v>
      </c>
      <c r="B30" s="35" t="s">
        <v>510</v>
      </c>
      <c r="C30" s="151">
        <v>442.12</v>
      </c>
      <c r="D30" s="163">
        <v>4000</v>
      </c>
      <c r="E30" s="151">
        <v>4000</v>
      </c>
      <c r="F30" s="151">
        <v>617.21</v>
      </c>
      <c r="G30" s="163">
        <v>4000</v>
      </c>
      <c r="H30" s="151">
        <v>6000</v>
      </c>
      <c r="I30" s="2"/>
      <c r="J30" s="40">
        <v>889.76</v>
      </c>
      <c r="K30" s="566">
        <v>6000</v>
      </c>
      <c r="L30" s="585">
        <v>6000</v>
      </c>
      <c r="M30" s="579">
        <v>6000</v>
      </c>
    </row>
    <row r="31" spans="1:14" x14ac:dyDescent="0.2">
      <c r="A31" s="64" t="s">
        <v>511</v>
      </c>
      <c r="B31" s="35" t="s">
        <v>391</v>
      </c>
      <c r="C31" s="151">
        <v>4748.18</v>
      </c>
      <c r="D31" s="163">
        <v>20000</v>
      </c>
      <c r="E31" s="151">
        <v>20000</v>
      </c>
      <c r="F31" s="151">
        <v>3034</v>
      </c>
      <c r="G31" s="163">
        <v>25000</v>
      </c>
      <c r="H31" s="151">
        <v>25000</v>
      </c>
      <c r="I31" s="2"/>
      <c r="J31" s="40">
        <v>7557.45</v>
      </c>
      <c r="K31" s="566">
        <v>25000</v>
      </c>
      <c r="L31" s="585">
        <v>35000</v>
      </c>
      <c r="M31" s="579">
        <v>30000</v>
      </c>
    </row>
    <row r="32" spans="1:14" x14ac:dyDescent="0.2">
      <c r="A32" s="64" t="s">
        <v>512</v>
      </c>
      <c r="B32" s="35" t="s">
        <v>513</v>
      </c>
      <c r="C32" s="151">
        <v>16164.97</v>
      </c>
      <c r="D32" s="163">
        <v>36060</v>
      </c>
      <c r="E32" s="151">
        <v>78890</v>
      </c>
      <c r="F32" s="151">
        <v>34952.42</v>
      </c>
      <c r="G32" s="163">
        <v>78890</v>
      </c>
      <c r="H32" s="151">
        <v>84500</v>
      </c>
      <c r="I32" s="2"/>
      <c r="J32" s="40">
        <v>41083.42</v>
      </c>
      <c r="K32" s="566">
        <v>84500</v>
      </c>
      <c r="L32" s="585">
        <v>84500</v>
      </c>
      <c r="M32" s="579">
        <v>84500</v>
      </c>
    </row>
    <row r="33" spans="1:13" x14ac:dyDescent="0.2">
      <c r="A33" s="64" t="s">
        <v>514</v>
      </c>
      <c r="B33" s="35" t="s">
        <v>248</v>
      </c>
      <c r="C33" s="151">
        <v>50</v>
      </c>
      <c r="D33" s="163">
        <v>600</v>
      </c>
      <c r="E33" s="151">
        <v>600</v>
      </c>
      <c r="F33" s="151">
        <v>50</v>
      </c>
      <c r="G33" s="163">
        <v>1000</v>
      </c>
      <c r="H33" s="151">
        <v>1000</v>
      </c>
      <c r="I33" s="2"/>
      <c r="J33" s="40">
        <v>111.99</v>
      </c>
      <c r="K33" s="566">
        <v>1000</v>
      </c>
      <c r="L33" s="585">
        <v>1000</v>
      </c>
      <c r="M33" s="579">
        <v>1000</v>
      </c>
    </row>
    <row r="34" spans="1:13" x14ac:dyDescent="0.2">
      <c r="A34" s="64" t="s">
        <v>515</v>
      </c>
      <c r="B34" s="35" t="s">
        <v>250</v>
      </c>
      <c r="C34" s="151">
        <v>3660.31</v>
      </c>
      <c r="D34" s="163">
        <v>4500</v>
      </c>
      <c r="E34" s="151">
        <v>4500</v>
      </c>
      <c r="F34" s="151">
        <v>0</v>
      </c>
      <c r="G34" s="163">
        <v>4500</v>
      </c>
      <c r="H34" s="151">
        <v>4500</v>
      </c>
      <c r="I34" s="2"/>
      <c r="J34" s="40">
        <v>447.4</v>
      </c>
      <c r="K34" s="566">
        <v>4500</v>
      </c>
      <c r="L34" s="585">
        <v>9500</v>
      </c>
      <c r="M34" s="579">
        <v>7500</v>
      </c>
    </row>
    <row r="35" spans="1:13" x14ac:dyDescent="0.2">
      <c r="A35" s="64" t="s">
        <v>516</v>
      </c>
      <c r="B35" s="35" t="s">
        <v>252</v>
      </c>
      <c r="C35" s="151">
        <v>25</v>
      </c>
      <c r="D35" s="163">
        <v>200</v>
      </c>
      <c r="E35" s="151">
        <v>200</v>
      </c>
      <c r="F35" s="151">
        <v>21</v>
      </c>
      <c r="G35" s="163">
        <v>200</v>
      </c>
      <c r="H35" s="151">
        <v>200</v>
      </c>
      <c r="I35" s="2"/>
      <c r="J35" s="40">
        <v>71</v>
      </c>
      <c r="K35" s="566">
        <v>200</v>
      </c>
      <c r="L35" s="585">
        <v>200</v>
      </c>
      <c r="M35" s="579">
        <v>200</v>
      </c>
    </row>
    <row r="36" spans="1:13" x14ac:dyDescent="0.2">
      <c r="A36" s="64" t="s">
        <v>517</v>
      </c>
      <c r="B36" s="35" t="s">
        <v>254</v>
      </c>
      <c r="C36" s="151">
        <v>1712.67</v>
      </c>
      <c r="D36" s="163">
        <v>4000</v>
      </c>
      <c r="E36" s="151">
        <v>4000</v>
      </c>
      <c r="F36" s="151">
        <v>677.9</v>
      </c>
      <c r="G36" s="163">
        <v>4000</v>
      </c>
      <c r="H36" s="151">
        <v>4000</v>
      </c>
      <c r="I36" s="2"/>
      <c r="J36" s="40">
        <v>617.15</v>
      </c>
      <c r="K36" s="566">
        <v>400</v>
      </c>
      <c r="L36" s="585">
        <v>400</v>
      </c>
      <c r="M36" s="579">
        <v>400</v>
      </c>
    </row>
    <row r="37" spans="1:13" hidden="1" x14ac:dyDescent="0.2">
      <c r="A37" s="64" t="s">
        <v>518</v>
      </c>
      <c r="B37" s="35" t="s">
        <v>519</v>
      </c>
      <c r="C37" s="151">
        <v>1075</v>
      </c>
      <c r="D37" s="163">
        <v>2400</v>
      </c>
      <c r="E37" s="151">
        <v>2400</v>
      </c>
      <c r="F37" s="151">
        <v>0</v>
      </c>
      <c r="G37" s="163">
        <v>0</v>
      </c>
      <c r="H37" s="151">
        <v>0</v>
      </c>
      <c r="I37" s="2"/>
      <c r="J37" s="40">
        <v>0</v>
      </c>
      <c r="K37" s="566">
        <v>0</v>
      </c>
      <c r="L37" s="585">
        <v>0</v>
      </c>
      <c r="M37" s="579">
        <v>0</v>
      </c>
    </row>
    <row r="38" spans="1:13" x14ac:dyDescent="0.2">
      <c r="A38" s="64" t="s">
        <v>520</v>
      </c>
      <c r="B38" s="35" t="s">
        <v>397</v>
      </c>
      <c r="C38" s="151">
        <v>2312.15</v>
      </c>
      <c r="D38" s="163">
        <v>400</v>
      </c>
      <c r="E38" s="180">
        <v>11000</v>
      </c>
      <c r="F38" s="151">
        <v>2742.55</v>
      </c>
      <c r="G38" s="232">
        <v>11000</v>
      </c>
      <c r="H38" s="180">
        <v>8000</v>
      </c>
      <c r="I38" s="2"/>
      <c r="J38" s="40">
        <v>1424.93</v>
      </c>
      <c r="K38" s="566">
        <v>8000</v>
      </c>
      <c r="L38" s="585">
        <v>12000</v>
      </c>
      <c r="M38" s="579">
        <v>12000</v>
      </c>
    </row>
    <row r="39" spans="1:13" x14ac:dyDescent="0.2">
      <c r="A39" s="64" t="s">
        <v>521</v>
      </c>
      <c r="B39" s="35" t="s">
        <v>522</v>
      </c>
      <c r="C39" s="151">
        <v>114</v>
      </c>
      <c r="D39" s="163">
        <v>1000</v>
      </c>
      <c r="E39" s="151">
        <v>1000</v>
      </c>
      <c r="F39" s="151">
        <v>0</v>
      </c>
      <c r="G39" s="163">
        <v>1000</v>
      </c>
      <c r="H39" s="151">
        <v>1000</v>
      </c>
      <c r="I39" s="2"/>
      <c r="J39" s="40">
        <v>232.95</v>
      </c>
      <c r="K39" s="566">
        <v>1000</v>
      </c>
      <c r="L39" s="585">
        <v>1000</v>
      </c>
      <c r="M39" s="579">
        <v>1000</v>
      </c>
    </row>
    <row r="40" spans="1:13" x14ac:dyDescent="0.2">
      <c r="A40" s="64" t="s">
        <v>523</v>
      </c>
      <c r="B40" s="35" t="s">
        <v>258</v>
      </c>
      <c r="C40" s="151">
        <v>957.35</v>
      </c>
      <c r="D40" s="163">
        <v>2000</v>
      </c>
      <c r="E40" s="151">
        <v>2500</v>
      </c>
      <c r="F40" s="151">
        <v>1246.56</v>
      </c>
      <c r="G40" s="163">
        <v>2500</v>
      </c>
      <c r="H40" s="151">
        <v>2500</v>
      </c>
      <c r="I40" s="2"/>
      <c r="J40" s="40">
        <v>2633.64</v>
      </c>
      <c r="K40" s="566">
        <v>2500</v>
      </c>
      <c r="L40" s="585">
        <v>2500</v>
      </c>
      <c r="M40" s="579">
        <v>2500</v>
      </c>
    </row>
    <row r="41" spans="1:13" x14ac:dyDescent="0.2">
      <c r="A41" s="64" t="s">
        <v>524</v>
      </c>
      <c r="B41" s="35" t="s">
        <v>525</v>
      </c>
      <c r="C41" s="151">
        <v>352.61</v>
      </c>
      <c r="D41" s="163">
        <v>5000</v>
      </c>
      <c r="E41" s="151">
        <v>3500</v>
      </c>
      <c r="F41" s="151">
        <v>0</v>
      </c>
      <c r="G41" s="163">
        <v>3500</v>
      </c>
      <c r="H41" s="151">
        <v>3500</v>
      </c>
      <c r="I41" s="2"/>
      <c r="J41" s="395">
        <v>0</v>
      </c>
      <c r="K41" s="566">
        <v>3500</v>
      </c>
      <c r="L41" s="585">
        <v>6500</v>
      </c>
      <c r="M41" s="579">
        <v>4000</v>
      </c>
    </row>
    <row r="42" spans="1:13" x14ac:dyDescent="0.2">
      <c r="A42" s="64" t="s">
        <v>526</v>
      </c>
      <c r="B42" s="35" t="s">
        <v>527</v>
      </c>
      <c r="C42" s="151">
        <v>1600.16</v>
      </c>
      <c r="D42" s="163">
        <v>3500</v>
      </c>
      <c r="E42" s="151">
        <v>2000</v>
      </c>
      <c r="F42" s="151">
        <v>173.51</v>
      </c>
      <c r="G42" s="163">
        <v>2000</v>
      </c>
      <c r="H42" s="151">
        <v>2000</v>
      </c>
      <c r="I42" s="2"/>
      <c r="J42" s="42">
        <v>0</v>
      </c>
      <c r="K42" s="566">
        <v>2000</v>
      </c>
      <c r="L42" s="585">
        <v>5500</v>
      </c>
      <c r="M42" s="579">
        <v>4500</v>
      </c>
    </row>
    <row r="43" spans="1:13" x14ac:dyDescent="0.2">
      <c r="A43" s="64" t="s">
        <v>528</v>
      </c>
      <c r="B43" s="35" t="s">
        <v>529</v>
      </c>
      <c r="C43" s="151">
        <v>1278.31</v>
      </c>
      <c r="D43" s="163">
        <v>3000</v>
      </c>
      <c r="E43" s="151">
        <v>3500</v>
      </c>
      <c r="F43" s="151">
        <v>0</v>
      </c>
      <c r="G43" s="163">
        <v>3500</v>
      </c>
      <c r="H43" s="151">
        <v>3500</v>
      </c>
      <c r="I43" s="2"/>
      <c r="J43" s="69">
        <v>0</v>
      </c>
      <c r="K43" s="566">
        <v>3500</v>
      </c>
      <c r="L43" s="585">
        <v>3500</v>
      </c>
      <c r="M43" s="579">
        <v>3500</v>
      </c>
    </row>
    <row r="44" spans="1:13" x14ac:dyDescent="0.2">
      <c r="A44" s="64" t="s">
        <v>1488</v>
      </c>
      <c r="B44" s="35" t="s">
        <v>1489</v>
      </c>
      <c r="C44" s="151"/>
      <c r="D44" s="163"/>
      <c r="E44" s="151">
        <v>1450</v>
      </c>
      <c r="F44" s="151">
        <v>0</v>
      </c>
      <c r="G44" s="163">
        <v>3000</v>
      </c>
      <c r="H44" s="151">
        <v>3000</v>
      </c>
      <c r="I44" s="2"/>
      <c r="J44" s="395">
        <v>0</v>
      </c>
      <c r="K44" s="566">
        <v>3000</v>
      </c>
      <c r="L44" s="585">
        <v>5500</v>
      </c>
      <c r="M44" s="579"/>
    </row>
    <row r="45" spans="1:13" x14ac:dyDescent="0.2">
      <c r="A45" s="64" t="s">
        <v>530</v>
      </c>
      <c r="B45" s="35" t="s">
        <v>531</v>
      </c>
      <c r="C45" s="151">
        <v>0</v>
      </c>
      <c r="D45" s="163"/>
      <c r="E45" s="151">
        <v>0</v>
      </c>
      <c r="F45" s="151">
        <v>0</v>
      </c>
      <c r="G45" s="163"/>
      <c r="H45" s="151"/>
      <c r="I45" s="2"/>
      <c r="J45" s="395">
        <v>0</v>
      </c>
      <c r="K45" s="566"/>
      <c r="L45" s="585">
        <v>25000</v>
      </c>
      <c r="M45" s="579"/>
    </row>
    <row r="46" spans="1:13" x14ac:dyDescent="0.2">
      <c r="A46" s="64" t="s">
        <v>532</v>
      </c>
      <c r="B46" s="35" t="s">
        <v>533</v>
      </c>
      <c r="C46" s="151">
        <v>0</v>
      </c>
      <c r="D46" s="163">
        <v>1750</v>
      </c>
      <c r="E46" s="151">
        <v>1750</v>
      </c>
      <c r="F46" s="151">
        <v>0</v>
      </c>
      <c r="G46" s="163">
        <v>1750</v>
      </c>
      <c r="H46" s="151">
        <v>1750</v>
      </c>
      <c r="I46" s="2"/>
      <c r="J46" s="395">
        <v>0</v>
      </c>
      <c r="K46" s="566">
        <v>1750</v>
      </c>
      <c r="L46" s="585">
        <v>1750</v>
      </c>
      <c r="M46" s="579">
        <v>1750</v>
      </c>
    </row>
    <row r="47" spans="1:13" x14ac:dyDescent="0.2">
      <c r="A47" s="64" t="s">
        <v>534</v>
      </c>
      <c r="B47" s="35" t="s">
        <v>393</v>
      </c>
      <c r="C47" s="151">
        <v>13263</v>
      </c>
      <c r="D47" s="163">
        <v>40000</v>
      </c>
      <c r="E47" s="151">
        <v>0</v>
      </c>
      <c r="F47" s="151">
        <v>0</v>
      </c>
      <c r="G47" s="163"/>
      <c r="H47" s="151"/>
      <c r="I47" s="2"/>
      <c r="J47" s="395">
        <v>0</v>
      </c>
      <c r="K47" s="566"/>
      <c r="L47" s="585"/>
      <c r="M47" s="579"/>
    </row>
    <row r="48" spans="1:13" x14ac:dyDescent="0.2">
      <c r="A48" s="64" t="s">
        <v>1357</v>
      </c>
      <c r="B48" s="35" t="s">
        <v>1659</v>
      </c>
      <c r="C48" s="151">
        <v>40137.29</v>
      </c>
      <c r="D48" s="163">
        <v>40000</v>
      </c>
      <c r="E48" s="180">
        <v>0</v>
      </c>
      <c r="F48" s="151">
        <v>0</v>
      </c>
      <c r="G48" s="163">
        <v>68012</v>
      </c>
      <c r="H48" s="151"/>
      <c r="I48" s="2"/>
      <c r="J48" s="395">
        <v>0</v>
      </c>
      <c r="K48" s="566"/>
      <c r="L48" s="585">
        <v>325248</v>
      </c>
      <c r="M48" s="579"/>
    </row>
    <row r="49" spans="1:19" x14ac:dyDescent="0.2">
      <c r="A49" s="64" t="s">
        <v>535</v>
      </c>
      <c r="B49" s="35" t="s">
        <v>536</v>
      </c>
      <c r="C49" s="151">
        <v>0</v>
      </c>
      <c r="D49" s="163"/>
      <c r="E49" s="151">
        <v>0</v>
      </c>
      <c r="F49" s="151">
        <v>0</v>
      </c>
      <c r="G49" s="163"/>
      <c r="H49" s="151"/>
      <c r="I49" s="2"/>
      <c r="J49" s="395">
        <v>0</v>
      </c>
      <c r="K49" s="566"/>
      <c r="L49" s="585"/>
      <c r="M49" s="579"/>
    </row>
    <row r="50" spans="1:19" x14ac:dyDescent="0.2">
      <c r="A50" s="64" t="s">
        <v>537</v>
      </c>
      <c r="B50" s="35" t="s">
        <v>1383</v>
      </c>
      <c r="C50" s="151">
        <v>0</v>
      </c>
      <c r="D50" s="163">
        <v>1756.3</v>
      </c>
      <c r="E50" s="151">
        <v>1756</v>
      </c>
      <c r="F50" s="151">
        <v>2514.5</v>
      </c>
      <c r="G50" s="163">
        <v>7245</v>
      </c>
      <c r="H50" s="151">
        <v>7245</v>
      </c>
      <c r="I50" s="2"/>
      <c r="J50" s="395">
        <v>0</v>
      </c>
      <c r="K50" s="566"/>
      <c r="L50" s="585">
        <v>7245</v>
      </c>
      <c r="M50" s="579"/>
    </row>
    <row r="51" spans="1:19" hidden="1" x14ac:dyDescent="0.2">
      <c r="A51" s="64" t="s">
        <v>538</v>
      </c>
      <c r="B51" s="35" t="s">
        <v>539</v>
      </c>
      <c r="C51" s="151">
        <v>0</v>
      </c>
      <c r="D51" s="163"/>
      <c r="E51" s="151">
        <v>0</v>
      </c>
      <c r="F51" s="151">
        <v>0</v>
      </c>
      <c r="G51" s="163">
        <v>4500</v>
      </c>
      <c r="H51" s="151"/>
      <c r="I51" s="2"/>
      <c r="J51" s="395">
        <v>0</v>
      </c>
      <c r="K51" s="566"/>
      <c r="L51" s="585"/>
      <c r="M51" s="579"/>
    </row>
    <row r="52" spans="1:19" hidden="1" x14ac:dyDescent="0.2">
      <c r="A52" s="64" t="s">
        <v>540</v>
      </c>
      <c r="B52" s="35" t="s">
        <v>541</v>
      </c>
      <c r="C52" s="151">
        <v>437.45</v>
      </c>
      <c r="D52" s="163"/>
      <c r="E52" s="151">
        <v>0</v>
      </c>
      <c r="F52" s="151">
        <v>0</v>
      </c>
      <c r="G52" s="163">
        <v>2910</v>
      </c>
      <c r="H52" s="151"/>
      <c r="I52" s="2"/>
      <c r="J52" s="395">
        <v>0</v>
      </c>
      <c r="K52" s="566"/>
      <c r="L52" s="585"/>
      <c r="M52" s="579"/>
    </row>
    <row r="53" spans="1:19" hidden="1" x14ac:dyDescent="0.2">
      <c r="A53" s="64" t="s">
        <v>542</v>
      </c>
      <c r="B53" s="35" t="s">
        <v>543</v>
      </c>
      <c r="C53" s="151">
        <v>0</v>
      </c>
      <c r="D53" s="163"/>
      <c r="E53" s="151">
        <v>0</v>
      </c>
      <c r="F53" s="151">
        <v>0</v>
      </c>
      <c r="G53" s="163"/>
      <c r="H53" s="151"/>
      <c r="I53" s="2"/>
      <c r="J53" s="395">
        <v>0</v>
      </c>
      <c r="K53" s="566"/>
      <c r="L53" s="585"/>
      <c r="M53" s="579"/>
    </row>
    <row r="54" spans="1:19" x14ac:dyDescent="0.2">
      <c r="A54" s="64" t="s">
        <v>538</v>
      </c>
      <c r="B54" s="35" t="s">
        <v>1657</v>
      </c>
      <c r="C54" s="151"/>
      <c r="D54" s="163"/>
      <c r="E54" s="151"/>
      <c r="F54" s="151"/>
      <c r="G54" s="163"/>
      <c r="H54" s="151"/>
      <c r="I54" s="2"/>
      <c r="J54" s="395"/>
      <c r="K54" s="566"/>
      <c r="L54" s="585">
        <v>9225</v>
      </c>
      <c r="M54" s="579">
        <v>9225</v>
      </c>
      <c r="N54" s="172"/>
    </row>
    <row r="55" spans="1:19" x14ac:dyDescent="0.2">
      <c r="A55" s="64" t="s">
        <v>540</v>
      </c>
      <c r="B55" s="35" t="s">
        <v>1658</v>
      </c>
      <c r="C55" s="151"/>
      <c r="D55" s="163"/>
      <c r="E55" s="151"/>
      <c r="F55" s="151"/>
      <c r="G55" s="163"/>
      <c r="H55" s="151"/>
      <c r="I55" s="2"/>
      <c r="J55" s="395"/>
      <c r="K55" s="566"/>
      <c r="L55" s="585">
        <v>5500</v>
      </c>
      <c r="M55" s="579">
        <v>3500</v>
      </c>
    </row>
    <row r="56" spans="1:19" x14ac:dyDescent="0.2">
      <c r="A56" s="64" t="s">
        <v>544</v>
      </c>
      <c r="B56" s="35" t="s">
        <v>545</v>
      </c>
      <c r="C56" s="151">
        <v>0</v>
      </c>
      <c r="D56" s="163">
        <v>1800</v>
      </c>
      <c r="E56" s="151">
        <v>0</v>
      </c>
      <c r="F56" s="151">
        <v>3514.2</v>
      </c>
      <c r="G56" s="163">
        <v>3514</v>
      </c>
      <c r="H56" s="151">
        <v>3514</v>
      </c>
      <c r="I56" s="2"/>
      <c r="J56" s="395">
        <v>2797.22</v>
      </c>
      <c r="K56" s="566">
        <v>3514</v>
      </c>
      <c r="L56" s="585">
        <v>3514</v>
      </c>
      <c r="M56" s="579">
        <v>3514</v>
      </c>
      <c r="S56" s="46"/>
    </row>
    <row r="57" spans="1:19" x14ac:dyDescent="0.2">
      <c r="A57" s="66" t="s">
        <v>534</v>
      </c>
      <c r="B57" s="35" t="s">
        <v>546</v>
      </c>
      <c r="C57" s="151"/>
      <c r="D57" s="163">
        <v>14000</v>
      </c>
      <c r="E57" s="151">
        <v>31318.3</v>
      </c>
      <c r="F57" s="151">
        <v>74743.56</v>
      </c>
      <c r="G57" s="163">
        <v>74743.56</v>
      </c>
      <c r="H57" s="151">
        <v>31318</v>
      </c>
      <c r="I57" s="2"/>
      <c r="J57" s="395">
        <v>16034</v>
      </c>
      <c r="K57" s="566">
        <v>31318</v>
      </c>
      <c r="L57" s="585">
        <v>90000</v>
      </c>
      <c r="M57" s="579">
        <v>23783</v>
      </c>
    </row>
    <row r="58" spans="1:19" x14ac:dyDescent="0.2">
      <c r="A58" s="66" t="s">
        <v>547</v>
      </c>
      <c r="B58" s="35" t="s">
        <v>548</v>
      </c>
      <c r="C58" s="151">
        <v>1104.3599999999999</v>
      </c>
      <c r="D58" s="163">
        <v>2000</v>
      </c>
      <c r="E58" s="151">
        <v>1324</v>
      </c>
      <c r="F58" s="151">
        <v>1324</v>
      </c>
      <c r="G58" s="163">
        <v>1976</v>
      </c>
      <c r="H58" s="151">
        <v>1976</v>
      </c>
      <c r="I58" s="2"/>
      <c r="J58" s="395">
        <v>1693.56</v>
      </c>
      <c r="K58" s="566">
        <v>1976</v>
      </c>
      <c r="L58" s="585">
        <v>6500</v>
      </c>
      <c r="M58" s="579">
        <v>2000</v>
      </c>
    </row>
    <row r="59" spans="1:19" x14ac:dyDescent="0.2">
      <c r="A59" s="66" t="s">
        <v>535</v>
      </c>
      <c r="B59" s="35" t="s">
        <v>1347</v>
      </c>
      <c r="C59" s="151"/>
      <c r="D59" s="163"/>
      <c r="E59" s="151"/>
      <c r="F59" s="151">
        <v>0</v>
      </c>
      <c r="G59" s="163"/>
      <c r="H59" s="151"/>
      <c r="I59" s="2"/>
      <c r="J59" s="395"/>
      <c r="K59" s="566"/>
      <c r="L59" s="585"/>
      <c r="M59" s="579"/>
    </row>
    <row r="60" spans="1:19" hidden="1" x14ac:dyDescent="0.2">
      <c r="A60" s="66" t="s">
        <v>1401</v>
      </c>
      <c r="B60" s="35" t="s">
        <v>1413</v>
      </c>
      <c r="C60" s="151"/>
      <c r="D60" s="163"/>
      <c r="E60" s="151">
        <v>0</v>
      </c>
      <c r="F60" s="151">
        <v>0</v>
      </c>
      <c r="G60" s="233"/>
      <c r="H60" s="213"/>
      <c r="I60" s="2"/>
      <c r="J60" s="395"/>
      <c r="K60" s="566"/>
      <c r="L60" s="585"/>
      <c r="M60" s="579"/>
    </row>
    <row r="61" spans="1:19" hidden="1" x14ac:dyDescent="0.2">
      <c r="A61" s="35" t="s">
        <v>1360</v>
      </c>
      <c r="B61" s="35" t="s">
        <v>549</v>
      </c>
      <c r="C61" s="151">
        <v>1578</v>
      </c>
      <c r="D61" s="163">
        <v>1575</v>
      </c>
      <c r="E61" s="151">
        <v>0</v>
      </c>
      <c r="F61" s="151">
        <v>0</v>
      </c>
      <c r="G61" s="163"/>
      <c r="H61" s="151"/>
      <c r="I61" s="2"/>
      <c r="J61" s="395"/>
      <c r="K61" s="566"/>
      <c r="L61" s="585"/>
      <c r="M61" s="579"/>
    </row>
    <row r="62" spans="1:19" x14ac:dyDescent="0.2">
      <c r="B62" s="35"/>
      <c r="C62" s="151"/>
      <c r="D62" s="163"/>
      <c r="E62" s="151"/>
      <c r="F62" s="151"/>
      <c r="G62" s="163"/>
      <c r="H62" s="151"/>
      <c r="I62" s="2"/>
      <c r="J62" s="395"/>
      <c r="K62" s="566"/>
      <c r="L62" s="585"/>
      <c r="M62" s="579"/>
    </row>
    <row r="63" spans="1:19" x14ac:dyDescent="0.2">
      <c r="A63" s="66"/>
      <c r="B63" s="35" t="s">
        <v>1660</v>
      </c>
      <c r="C63" s="151"/>
      <c r="D63" s="163">
        <v>1039.9000000000001</v>
      </c>
      <c r="E63" s="151"/>
      <c r="F63" s="151">
        <v>0</v>
      </c>
      <c r="G63" s="163">
        <v>3565</v>
      </c>
      <c r="H63" s="151">
        <v>3565</v>
      </c>
      <c r="I63" s="2"/>
      <c r="J63" s="395">
        <v>0</v>
      </c>
      <c r="K63" s="566"/>
      <c r="L63" s="585">
        <v>2100</v>
      </c>
      <c r="M63" s="579"/>
    </row>
    <row r="64" spans="1:19" x14ac:dyDescent="0.2">
      <c r="A64" s="66" t="s">
        <v>1358</v>
      </c>
      <c r="B64" s="35" t="s">
        <v>550</v>
      </c>
      <c r="C64" s="151">
        <v>1515.96</v>
      </c>
      <c r="D64" s="163"/>
      <c r="E64" s="151">
        <v>1540</v>
      </c>
      <c r="F64" s="151">
        <v>0</v>
      </c>
      <c r="G64" s="163">
        <v>1540</v>
      </c>
      <c r="H64" s="151">
        <v>1540</v>
      </c>
      <c r="I64" s="2"/>
      <c r="J64" s="395">
        <v>415.02</v>
      </c>
      <c r="K64" s="566">
        <v>1540</v>
      </c>
      <c r="L64" s="585">
        <v>1540</v>
      </c>
      <c r="M64" s="579">
        <v>1540</v>
      </c>
    </row>
    <row r="65" spans="1:13" x14ac:dyDescent="0.2">
      <c r="A65" s="66" t="s">
        <v>1359</v>
      </c>
      <c r="B65" s="35" t="s">
        <v>551</v>
      </c>
      <c r="C65" s="151">
        <v>1279.6500000000001</v>
      </c>
      <c r="D65" s="163">
        <v>650</v>
      </c>
      <c r="E65" s="151">
        <v>5076</v>
      </c>
      <c r="F65" s="151">
        <v>5076</v>
      </c>
      <c r="G65" s="163">
        <v>5076</v>
      </c>
      <c r="H65" s="151">
        <v>5076</v>
      </c>
      <c r="I65" s="2"/>
      <c r="J65" s="395">
        <v>5076</v>
      </c>
      <c r="K65" s="566">
        <v>5076</v>
      </c>
      <c r="L65" s="585">
        <v>9724</v>
      </c>
      <c r="M65" s="579">
        <v>5500</v>
      </c>
    </row>
    <row r="66" spans="1:13" x14ac:dyDescent="0.2">
      <c r="A66" s="66" t="s">
        <v>1360</v>
      </c>
      <c r="B66" s="63" t="s">
        <v>1476</v>
      </c>
      <c r="C66" s="151"/>
      <c r="D66" s="163"/>
      <c r="E66" s="151">
        <v>1660</v>
      </c>
      <c r="F66" s="151"/>
      <c r="G66" s="233">
        <v>1800</v>
      </c>
      <c r="H66" s="213">
        <v>1800</v>
      </c>
      <c r="I66" s="2"/>
      <c r="J66" s="395"/>
      <c r="K66" s="566">
        <v>1800</v>
      </c>
      <c r="L66" s="585">
        <v>1800</v>
      </c>
      <c r="M66" s="579">
        <v>1200</v>
      </c>
    </row>
    <row r="67" spans="1:13" hidden="1" x14ac:dyDescent="0.2">
      <c r="A67" s="66"/>
      <c r="B67" s="35" t="s">
        <v>552</v>
      </c>
      <c r="C67" s="151"/>
      <c r="D67" s="163">
        <v>2000</v>
      </c>
      <c r="E67" s="151"/>
      <c r="F67" s="151"/>
      <c r="G67" s="163"/>
      <c r="H67" s="151"/>
      <c r="I67" s="2"/>
      <c r="J67" s="395"/>
      <c r="K67" s="566"/>
      <c r="L67" s="585"/>
      <c r="M67" s="579"/>
    </row>
    <row r="68" spans="1:13" hidden="1" x14ac:dyDescent="0.2">
      <c r="A68" s="66"/>
      <c r="B68" s="35" t="s">
        <v>553</v>
      </c>
      <c r="C68" s="151"/>
      <c r="D68" s="163"/>
      <c r="E68" s="151"/>
      <c r="F68" s="151"/>
      <c r="G68" s="163"/>
      <c r="H68" s="151"/>
      <c r="I68" s="2"/>
      <c r="J68" s="395"/>
      <c r="K68" s="566"/>
      <c r="L68" s="585"/>
      <c r="M68" s="579"/>
    </row>
    <row r="69" spans="1:13" hidden="1" x14ac:dyDescent="0.2">
      <c r="A69" s="66"/>
      <c r="B69" s="35" t="s">
        <v>1382</v>
      </c>
      <c r="C69" s="151"/>
      <c r="D69" s="163">
        <v>1013.5</v>
      </c>
      <c r="E69" s="151"/>
      <c r="F69" s="151"/>
      <c r="G69" s="163"/>
      <c r="H69" s="151"/>
      <c r="I69" s="2"/>
      <c r="J69" s="395"/>
      <c r="K69" s="566"/>
      <c r="L69" s="585"/>
      <c r="M69" s="579"/>
    </row>
    <row r="70" spans="1:13" x14ac:dyDescent="0.2">
      <c r="A70" s="35" t="s">
        <v>1399</v>
      </c>
      <c r="B70" s="35" t="s">
        <v>1661</v>
      </c>
      <c r="C70" s="151"/>
      <c r="D70" s="163">
        <v>1636</v>
      </c>
      <c r="E70" s="151"/>
      <c r="F70" s="151"/>
      <c r="G70" s="163"/>
      <c r="H70" s="151">
        <v>3000</v>
      </c>
      <c r="I70" s="2"/>
      <c r="J70" s="395">
        <v>164.95</v>
      </c>
      <c r="K70" s="566">
        <v>3000</v>
      </c>
      <c r="L70" s="585">
        <v>3000</v>
      </c>
      <c r="M70" s="579">
        <v>0</v>
      </c>
    </row>
    <row r="71" spans="1:13" hidden="1" x14ac:dyDescent="0.2">
      <c r="A71" s="66" t="s">
        <v>1399</v>
      </c>
      <c r="B71" s="35" t="s">
        <v>1414</v>
      </c>
      <c r="C71" s="151"/>
      <c r="D71" s="163"/>
      <c r="E71" s="151"/>
      <c r="F71" s="151"/>
      <c r="G71" s="163"/>
      <c r="H71" s="151"/>
      <c r="I71" s="2"/>
      <c r="J71" s="395"/>
      <c r="K71" s="566"/>
      <c r="L71" s="585"/>
      <c r="M71" s="579"/>
    </row>
    <row r="72" spans="1:13" hidden="1" x14ac:dyDescent="0.2">
      <c r="A72" s="66"/>
      <c r="B72" s="35" t="s">
        <v>1415</v>
      </c>
      <c r="C72" s="151"/>
      <c r="D72" s="163"/>
      <c r="E72" s="151"/>
      <c r="F72" s="151"/>
      <c r="G72" s="163"/>
      <c r="H72" s="151"/>
      <c r="I72" s="2"/>
      <c r="J72" s="395"/>
      <c r="K72" s="566"/>
      <c r="L72" s="585"/>
      <c r="M72" s="579"/>
    </row>
    <row r="73" spans="1:13" hidden="1" x14ac:dyDescent="0.2">
      <c r="A73" s="66"/>
      <c r="B73" s="35" t="s">
        <v>1416</v>
      </c>
      <c r="C73" s="151"/>
      <c r="D73" s="163"/>
      <c r="E73" s="151"/>
      <c r="F73" s="151"/>
      <c r="G73" s="163"/>
      <c r="H73" s="151"/>
      <c r="I73" s="2"/>
      <c r="J73" s="395"/>
      <c r="K73" s="566"/>
      <c r="L73" s="585"/>
      <c r="M73" s="579"/>
    </row>
    <row r="74" spans="1:13" hidden="1" x14ac:dyDescent="0.2">
      <c r="A74" s="66"/>
      <c r="B74" s="35" t="s">
        <v>1417</v>
      </c>
      <c r="C74" s="151"/>
      <c r="D74" s="163"/>
      <c r="E74" s="151">
        <v>0</v>
      </c>
      <c r="F74" s="151"/>
      <c r="G74" s="163"/>
      <c r="H74" s="151"/>
      <c r="I74" s="2"/>
      <c r="J74" s="395"/>
      <c r="K74" s="566"/>
      <c r="L74" s="585"/>
      <c r="M74" s="579"/>
    </row>
    <row r="75" spans="1:13" ht="15" x14ac:dyDescent="0.25">
      <c r="A75" s="66"/>
      <c r="B75" s="35"/>
      <c r="C75" s="151"/>
      <c r="D75" s="163"/>
      <c r="E75" s="151"/>
      <c r="F75" s="151"/>
      <c r="G75" s="163"/>
      <c r="H75" s="151"/>
      <c r="I75" s="2"/>
      <c r="J75" s="395"/>
      <c r="K75" s="616"/>
      <c r="L75" s="617"/>
      <c r="M75" s="579"/>
    </row>
    <row r="76" spans="1:13" ht="15" x14ac:dyDescent="0.25">
      <c r="A76" s="66"/>
      <c r="B76" s="63"/>
      <c r="C76" s="161"/>
      <c r="D76" s="164"/>
      <c r="E76" s="161"/>
      <c r="F76" s="161"/>
      <c r="G76" s="164">
        <v>11195</v>
      </c>
      <c r="H76" s="161"/>
      <c r="I76" s="2"/>
      <c r="J76" s="395"/>
      <c r="K76" s="616"/>
      <c r="L76" s="617"/>
      <c r="M76" s="579"/>
    </row>
    <row r="77" spans="1:13" ht="15" x14ac:dyDescent="0.25">
      <c r="A77" s="237"/>
      <c r="B77" s="35"/>
      <c r="C77" s="151"/>
      <c r="D77" s="163"/>
      <c r="E77" s="151"/>
      <c r="F77" s="151"/>
      <c r="G77" s="163"/>
      <c r="H77" s="151"/>
      <c r="I77" s="2"/>
      <c r="J77" s="395"/>
      <c r="K77" s="566"/>
      <c r="L77" s="585"/>
      <c r="M77" s="618"/>
    </row>
    <row r="78" spans="1:13" ht="15" x14ac:dyDescent="0.25">
      <c r="A78" s="66"/>
      <c r="C78" s="151"/>
      <c r="D78" s="163"/>
      <c r="E78" s="151">
        <v>1000</v>
      </c>
      <c r="F78" s="151"/>
      <c r="G78" s="163">
        <v>3000</v>
      </c>
      <c r="H78" s="151"/>
      <c r="I78" s="2"/>
      <c r="J78" s="395"/>
      <c r="K78" s="566"/>
      <c r="L78" s="585"/>
      <c r="M78" s="618"/>
    </row>
    <row r="79" spans="1:13" ht="15" x14ac:dyDescent="0.25">
      <c r="A79" s="66"/>
      <c r="B79" s="63" t="s">
        <v>169</v>
      </c>
      <c r="C79" s="161">
        <f>SUM(C4:C68)</f>
        <v>210564.66999999998</v>
      </c>
      <c r="D79" s="164">
        <f>SUM(D4:D73)</f>
        <v>447975.62345499999</v>
      </c>
      <c r="E79" s="198">
        <f>SUM(E4:E78)</f>
        <v>471617.06</v>
      </c>
      <c r="F79" s="161">
        <f>SUM(F4:F74)</f>
        <v>212075.06999999998</v>
      </c>
      <c r="G79" s="164">
        <f>SUM(G4:G74)</f>
        <v>659588.7350000001</v>
      </c>
      <c r="H79" s="256">
        <f t="shared" ref="H79:M79" si="0">SUM(H4:H78)</f>
        <v>506351.46306500002</v>
      </c>
      <c r="I79" s="256">
        <f t="shared" si="0"/>
        <v>8816.25</v>
      </c>
      <c r="J79" s="224">
        <f t="shared" si="0"/>
        <v>210611.13999999996</v>
      </c>
      <c r="K79" s="619">
        <f t="shared" si="0"/>
        <v>590139.30081499997</v>
      </c>
      <c r="L79" s="620">
        <f t="shared" si="0"/>
        <v>1383389.6632099999</v>
      </c>
      <c r="M79" s="618">
        <f t="shared" si="0"/>
        <v>681484.08820999996</v>
      </c>
    </row>
    <row r="80" spans="1:13" x14ac:dyDescent="0.2">
      <c r="A80" s="31"/>
      <c r="B80" s="227"/>
      <c r="K80" s="330"/>
      <c r="L80" s="540"/>
      <c r="M80" s="590"/>
    </row>
    <row r="81" spans="2:13" ht="15" x14ac:dyDescent="0.25">
      <c r="B81" s="225"/>
      <c r="C81" s="1"/>
      <c r="D81" s="226"/>
      <c r="E81" s="226"/>
      <c r="F81" s="1"/>
      <c r="G81" s="1"/>
      <c r="M81" s="591"/>
    </row>
    <row r="82" spans="2:13" x14ac:dyDescent="0.2">
      <c r="M82" s="540"/>
    </row>
  </sheetData>
  <phoneticPr fontId="24" type="noConversion"/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2"/>
  <sheetViews>
    <sheetView workbookViewId="0">
      <selection activeCell="M1" sqref="M1:M1048576"/>
    </sheetView>
  </sheetViews>
  <sheetFormatPr defaultColWidth="9" defaultRowHeight="14.25" x14ac:dyDescent="0.2"/>
  <cols>
    <col min="1" max="1" width="11.5" style="501" customWidth="1"/>
    <col min="2" max="2" width="31.5" style="54" customWidth="1"/>
    <col min="3" max="3" width="13.875" style="172" hidden="1" customWidth="1"/>
    <col min="4" max="4" width="13.75" hidden="1" customWidth="1"/>
    <col min="5" max="5" width="12" hidden="1" customWidth="1"/>
    <col min="6" max="6" width="13.375" hidden="1" customWidth="1"/>
    <col min="7" max="7" width="13.875" style="172" hidden="1" customWidth="1"/>
    <col min="8" max="8" width="12" hidden="1" customWidth="1"/>
    <col min="9" max="9" width="13.875" hidden="1" customWidth="1"/>
    <col min="10" max="10" width="12.5" hidden="1" customWidth="1"/>
    <col min="11" max="11" width="13.75" hidden="1" customWidth="1"/>
    <col min="12" max="12" width="14.375" hidden="1" customWidth="1"/>
    <col min="13" max="13" width="15.375" hidden="1" customWidth="1"/>
    <col min="14" max="14" width="15.125" customWidth="1"/>
    <col min="15" max="15" width="11.125" hidden="1" customWidth="1"/>
  </cols>
  <sheetData>
    <row r="1" spans="1:15" x14ac:dyDescent="0.2">
      <c r="J1" s="2"/>
      <c r="K1" s="2"/>
    </row>
    <row r="2" spans="1:15" ht="45" x14ac:dyDescent="0.25">
      <c r="A2" s="502"/>
      <c r="B2" s="56" t="s">
        <v>12</v>
      </c>
      <c r="C2" s="445" t="s">
        <v>554</v>
      </c>
      <c r="D2" s="266" t="s">
        <v>555</v>
      </c>
      <c r="E2" s="266" t="s">
        <v>1351</v>
      </c>
      <c r="F2" s="266" t="s">
        <v>1352</v>
      </c>
      <c r="G2" s="143" t="s">
        <v>1495</v>
      </c>
      <c r="H2" s="143" t="s">
        <v>1494</v>
      </c>
      <c r="I2" s="154" t="s">
        <v>1505</v>
      </c>
      <c r="J2" s="266" t="s">
        <v>1569</v>
      </c>
      <c r="K2" s="2"/>
      <c r="L2" s="143" t="s">
        <v>1568</v>
      </c>
      <c r="M2" s="488" t="s">
        <v>1634</v>
      </c>
      <c r="N2" s="488" t="s">
        <v>1686</v>
      </c>
      <c r="O2" s="2" t="s">
        <v>1653</v>
      </c>
    </row>
    <row r="3" spans="1:15" x14ac:dyDescent="0.2">
      <c r="A3" s="196" t="s">
        <v>556</v>
      </c>
      <c r="B3" s="58" t="s">
        <v>557</v>
      </c>
      <c r="C3" s="49">
        <v>30291.5</v>
      </c>
      <c r="D3" s="49">
        <v>31200.245000000003</v>
      </c>
      <c r="E3" s="180">
        <v>15707.58</v>
      </c>
      <c r="F3" s="180">
        <v>31200.25</v>
      </c>
      <c r="G3" s="49">
        <v>34579</v>
      </c>
      <c r="H3" s="180">
        <v>22472.27</v>
      </c>
      <c r="I3" s="232">
        <v>36079</v>
      </c>
      <c r="J3" s="232">
        <v>36079</v>
      </c>
      <c r="K3" s="503">
        <f>SUM(J3-G3)</f>
        <v>1500</v>
      </c>
      <c r="L3" s="273">
        <v>17949.060000000001</v>
      </c>
      <c r="M3" s="138">
        <v>36709</v>
      </c>
      <c r="N3" s="3">
        <v>52270</v>
      </c>
      <c r="O3" s="50">
        <f>+SUM(N3-M3)</f>
        <v>15561</v>
      </c>
    </row>
    <row r="4" spans="1:15" x14ac:dyDescent="0.2">
      <c r="A4" s="196" t="s">
        <v>558</v>
      </c>
      <c r="B4" s="58" t="s">
        <v>559</v>
      </c>
      <c r="C4" s="49">
        <v>30014.83</v>
      </c>
      <c r="D4" s="49">
        <v>30915.274900000004</v>
      </c>
      <c r="E4" s="180">
        <v>15642.43</v>
      </c>
      <c r="F4" s="180">
        <v>30915</v>
      </c>
      <c r="G4" s="49">
        <v>34079.589999999997</v>
      </c>
      <c r="H4" s="180">
        <v>16658.54</v>
      </c>
      <c r="I4" s="232">
        <v>34579</v>
      </c>
      <c r="J4" s="229">
        <v>35579.589999999997</v>
      </c>
      <c r="K4" s="229">
        <f>SUM(J4-G4)</f>
        <v>1500</v>
      </c>
      <c r="L4" s="372">
        <v>17693.64</v>
      </c>
      <c r="M4" s="534">
        <v>35579.589999999997</v>
      </c>
      <c r="N4" s="229">
        <v>40000</v>
      </c>
      <c r="O4" s="50">
        <f t="shared" ref="O4:O8" si="0">+SUM(N4-M4)</f>
        <v>4420.4100000000035</v>
      </c>
    </row>
    <row r="5" spans="1:15" x14ac:dyDescent="0.2">
      <c r="A5" s="196" t="s">
        <v>560</v>
      </c>
      <c r="B5" s="58" t="s">
        <v>559</v>
      </c>
      <c r="C5" s="49">
        <v>30014.83</v>
      </c>
      <c r="D5" s="49">
        <v>30915.274900000004</v>
      </c>
      <c r="E5" s="180">
        <v>14122.32</v>
      </c>
      <c r="F5" s="180">
        <v>30915</v>
      </c>
      <c r="G5" s="49">
        <v>34079.589999999997</v>
      </c>
      <c r="H5" s="180">
        <v>16383</v>
      </c>
      <c r="I5" s="232">
        <v>34079</v>
      </c>
      <c r="J5" s="229">
        <v>35579.589999999997</v>
      </c>
      <c r="K5" s="229">
        <f>SUM(J5-G5)</f>
        <v>1500</v>
      </c>
      <c r="L5" s="372">
        <v>17693.64</v>
      </c>
      <c r="M5" s="534">
        <v>35579.589999999997</v>
      </c>
      <c r="N5" s="229">
        <v>40000</v>
      </c>
      <c r="O5" s="50">
        <f t="shared" si="0"/>
        <v>4420.4100000000035</v>
      </c>
    </row>
    <row r="6" spans="1:15" x14ac:dyDescent="0.2">
      <c r="A6" s="196" t="s">
        <v>561</v>
      </c>
      <c r="B6" s="58" t="s">
        <v>559</v>
      </c>
      <c r="C6" s="49">
        <v>30014.83</v>
      </c>
      <c r="D6" s="49">
        <v>30915.274900000004</v>
      </c>
      <c r="E6" s="180">
        <v>15643.26</v>
      </c>
      <c r="F6" s="180">
        <v>30915</v>
      </c>
      <c r="G6" s="49">
        <v>34079.589999999997</v>
      </c>
      <c r="H6" s="180">
        <v>14897.68</v>
      </c>
      <c r="I6" s="232">
        <v>34079</v>
      </c>
      <c r="J6" s="229">
        <v>35579.589999999997</v>
      </c>
      <c r="K6" s="229">
        <f>SUM(J6-G6)</f>
        <v>1500</v>
      </c>
      <c r="L6" s="363">
        <v>16227.98</v>
      </c>
      <c r="M6" s="534">
        <v>35579.589999999997</v>
      </c>
      <c r="N6" s="229">
        <v>40000</v>
      </c>
      <c r="O6" s="50">
        <f t="shared" si="0"/>
        <v>4420.4100000000035</v>
      </c>
    </row>
    <row r="7" spans="1:15" x14ac:dyDescent="0.2">
      <c r="A7" s="196" t="s">
        <v>562</v>
      </c>
      <c r="B7" s="58" t="s">
        <v>563</v>
      </c>
      <c r="C7" s="49">
        <v>28566.26</v>
      </c>
      <c r="D7" s="49">
        <v>29423.247799999997</v>
      </c>
      <c r="E7" s="180">
        <v>14889.65</v>
      </c>
      <c r="F7" s="180">
        <v>30915</v>
      </c>
      <c r="G7" s="49">
        <v>29925.4</v>
      </c>
      <c r="H7" s="180">
        <v>14587.47</v>
      </c>
      <c r="I7" s="138">
        <v>29925</v>
      </c>
      <c r="J7" s="229">
        <v>31425.4</v>
      </c>
      <c r="K7" s="229">
        <f>SUM(J7-G7)</f>
        <v>1500</v>
      </c>
      <c r="L7" s="363">
        <v>10534.31</v>
      </c>
      <c r="M7" s="534">
        <v>31425.4</v>
      </c>
      <c r="N7" s="229">
        <v>40000</v>
      </c>
      <c r="O7" s="50">
        <f t="shared" si="0"/>
        <v>8574.5999999999985</v>
      </c>
    </row>
    <row r="8" spans="1:15" x14ac:dyDescent="0.2">
      <c r="A8" s="196" t="s">
        <v>1490</v>
      </c>
      <c r="B8" s="58" t="s">
        <v>1491</v>
      </c>
      <c r="C8" s="49"/>
      <c r="D8" s="49"/>
      <c r="E8" s="180"/>
      <c r="F8" s="180"/>
      <c r="G8" s="49">
        <v>29925</v>
      </c>
      <c r="H8" s="180"/>
      <c r="I8" s="138">
        <v>29925</v>
      </c>
      <c r="J8" s="229">
        <v>30925</v>
      </c>
      <c r="K8" s="504">
        <f>SUM(J$3-G$3)</f>
        <v>1500</v>
      </c>
      <c r="L8" s="363">
        <v>11754.53</v>
      </c>
      <c r="M8" s="534">
        <v>30925</v>
      </c>
      <c r="N8" s="229">
        <v>40000</v>
      </c>
      <c r="O8" s="50">
        <f t="shared" si="0"/>
        <v>9075</v>
      </c>
    </row>
    <row r="9" spans="1:15" x14ac:dyDescent="0.2">
      <c r="A9" s="196" t="s">
        <v>564</v>
      </c>
      <c r="B9" s="58" t="s">
        <v>565</v>
      </c>
      <c r="C9" s="49">
        <v>18000</v>
      </c>
      <c r="D9" s="49">
        <v>18540</v>
      </c>
      <c r="E9" s="180">
        <v>7683.8</v>
      </c>
      <c r="F9" s="180">
        <v>18000</v>
      </c>
      <c r="G9" s="180">
        <v>18000</v>
      </c>
      <c r="H9" s="180">
        <v>2972.7</v>
      </c>
      <c r="I9" s="232">
        <v>18000</v>
      </c>
      <c r="J9" s="232">
        <v>18000</v>
      </c>
      <c r="K9" s="2"/>
      <c r="L9" s="273">
        <v>11196.9</v>
      </c>
      <c r="M9" s="138">
        <v>20000</v>
      </c>
      <c r="N9" s="49">
        <v>12500</v>
      </c>
      <c r="O9" s="2"/>
    </row>
    <row r="10" spans="1:15" x14ac:dyDescent="0.2">
      <c r="A10" s="196" t="s">
        <v>1361</v>
      </c>
      <c r="B10" s="58" t="s">
        <v>1662</v>
      </c>
      <c r="C10" s="49"/>
      <c r="D10" s="49"/>
      <c r="E10" s="180">
        <v>0</v>
      </c>
      <c r="F10" s="180"/>
      <c r="G10" s="180"/>
      <c r="H10" s="180"/>
      <c r="I10" s="232"/>
      <c r="J10" s="232"/>
      <c r="K10" s="2"/>
      <c r="L10" s="363"/>
      <c r="M10" s="138"/>
      <c r="N10" s="49"/>
      <c r="O10" s="50">
        <f>SUM(O3:O9)</f>
        <v>46471.830000000009</v>
      </c>
    </row>
    <row r="11" spans="1:15" x14ac:dyDescent="0.2">
      <c r="A11" s="196" t="s">
        <v>566</v>
      </c>
      <c r="B11" s="58" t="s">
        <v>492</v>
      </c>
      <c r="C11" s="49">
        <v>1800</v>
      </c>
      <c r="D11" s="49">
        <v>1800</v>
      </c>
      <c r="E11" s="180">
        <v>0</v>
      </c>
      <c r="F11" s="180">
        <v>1800</v>
      </c>
      <c r="G11" s="180">
        <v>1800</v>
      </c>
      <c r="H11" s="180"/>
      <c r="I11" s="232">
        <v>1800</v>
      </c>
      <c r="J11" s="232">
        <v>1800</v>
      </c>
      <c r="K11" s="2"/>
      <c r="L11" s="363">
        <v>0</v>
      </c>
      <c r="M11" s="138"/>
      <c r="N11" s="49"/>
    </row>
    <row r="12" spans="1:15" x14ac:dyDescent="0.2">
      <c r="A12" s="505" t="s">
        <v>567</v>
      </c>
      <c r="B12" s="476" t="s">
        <v>568</v>
      </c>
      <c r="C12" s="49">
        <v>12000</v>
      </c>
      <c r="D12" s="49">
        <v>15000</v>
      </c>
      <c r="E12" s="180">
        <v>10606.54</v>
      </c>
      <c r="F12" s="180">
        <v>15000</v>
      </c>
      <c r="G12" s="180">
        <v>18000</v>
      </c>
      <c r="H12" s="180">
        <v>11004.64</v>
      </c>
      <c r="I12" s="232">
        <v>20000</v>
      </c>
      <c r="J12" s="232">
        <v>20000</v>
      </c>
      <c r="K12" s="2"/>
      <c r="L12" s="363">
        <v>8068.06</v>
      </c>
      <c r="M12" s="138">
        <v>20600</v>
      </c>
      <c r="N12" s="49">
        <v>18000</v>
      </c>
    </row>
    <row r="13" spans="1:15" x14ac:dyDescent="0.2">
      <c r="A13" s="505" t="s">
        <v>569</v>
      </c>
      <c r="B13" s="476" t="s">
        <v>220</v>
      </c>
      <c r="C13" s="49">
        <v>362.5</v>
      </c>
      <c r="D13" s="49">
        <v>422.5</v>
      </c>
      <c r="E13" s="180">
        <v>240</v>
      </c>
      <c r="F13" s="180">
        <v>780</v>
      </c>
      <c r="G13" s="180">
        <v>1675</v>
      </c>
      <c r="H13" s="180">
        <v>912.5</v>
      </c>
      <c r="I13" s="239">
        <v>1307.5</v>
      </c>
      <c r="J13" s="239">
        <v>1105</v>
      </c>
      <c r="K13" s="2"/>
      <c r="L13" s="363">
        <v>700</v>
      </c>
      <c r="M13" s="138">
        <v>1427.5</v>
      </c>
      <c r="N13" s="3">
        <v>1547.5</v>
      </c>
    </row>
    <row r="14" spans="1:15" x14ac:dyDescent="0.2">
      <c r="A14" s="196" t="s">
        <v>570</v>
      </c>
      <c r="B14" s="58" t="s">
        <v>226</v>
      </c>
      <c r="C14" s="49">
        <v>5500</v>
      </c>
      <c r="D14" s="49">
        <v>5500</v>
      </c>
      <c r="E14" s="180">
        <v>1889.33</v>
      </c>
      <c r="F14" s="180">
        <v>5500</v>
      </c>
      <c r="G14" s="180">
        <v>5500</v>
      </c>
      <c r="H14" s="180">
        <v>1250.46</v>
      </c>
      <c r="I14" s="232">
        <v>4000</v>
      </c>
      <c r="J14" s="232">
        <v>4000</v>
      </c>
      <c r="K14" s="2"/>
      <c r="L14" s="363">
        <v>1586.45</v>
      </c>
      <c r="M14" s="138">
        <v>4000</v>
      </c>
      <c r="N14" s="3">
        <v>4000</v>
      </c>
    </row>
    <row r="15" spans="1:15" x14ac:dyDescent="0.2">
      <c r="A15" s="196" t="s">
        <v>571</v>
      </c>
      <c r="B15" s="58" t="s">
        <v>228</v>
      </c>
      <c r="C15" s="49">
        <f>SUM(C3:C13)*0.129</f>
        <v>23357.352750000002</v>
      </c>
      <c r="D15" s="49">
        <f>SUM(D$3:D$13)*0.12</f>
        <v>22695.8181</v>
      </c>
      <c r="E15" s="180">
        <v>10631.69</v>
      </c>
      <c r="F15" s="138">
        <f>SUM(F$3:F$13)*0.12</f>
        <v>22852.829999999998</v>
      </c>
      <c r="G15" s="49">
        <v>22704.29</v>
      </c>
      <c r="H15" s="180">
        <v>10017.14</v>
      </c>
      <c r="I15" s="232">
        <f>SUM(I$3:I$6)*0.099</f>
        <v>13742.784000000001</v>
      </c>
      <c r="J15" s="232">
        <f>SUM(J$3:J$13)*0.099</f>
        <v>24361.243829999999</v>
      </c>
      <c r="K15" s="180">
        <f>SUM(K$3:K$13)*0.099</f>
        <v>891</v>
      </c>
      <c r="L15" s="363">
        <v>11360.77</v>
      </c>
      <c r="M15" s="232">
        <f>SUM(M$3:M$13)*0.095</f>
        <v>23543.43865</v>
      </c>
      <c r="N15" s="180">
        <f>SUM(N$3:N$13)*0.095</f>
        <v>27010.162499999999</v>
      </c>
    </row>
    <row r="16" spans="1:15" x14ac:dyDescent="0.2">
      <c r="A16" s="196" t="s">
        <v>572</v>
      </c>
      <c r="B16" s="58" t="s">
        <v>230</v>
      </c>
      <c r="C16" s="49">
        <f>SUM(C3:C13)*0.0145</f>
        <v>2625.4388750000003</v>
      </c>
      <c r="D16" s="49">
        <f>SUM(D$3:D$13)*0.0145</f>
        <v>2742.4113537500002</v>
      </c>
      <c r="E16" s="180">
        <v>1322.53</v>
      </c>
      <c r="F16" s="138">
        <f>SUM(F$3:F$13)*0.0145</f>
        <v>2761.3836249999999</v>
      </c>
      <c r="G16" s="49">
        <v>2965.88</v>
      </c>
      <c r="H16" s="180">
        <v>1476.34</v>
      </c>
      <c r="I16" s="138">
        <f>SUM(I$3:I$8)*0.0145</f>
        <v>2880.6570000000002</v>
      </c>
      <c r="J16" s="232">
        <f>SUM(J$3:J$13)*0.0145</f>
        <v>3568.0609650000001</v>
      </c>
      <c r="K16" s="180">
        <f>SUM(K$3:K$13)*0.0145</f>
        <v>130.5</v>
      </c>
      <c r="L16" s="363">
        <v>1720.46</v>
      </c>
      <c r="M16" s="232">
        <f>SUM(M$3:M$13)*0.0145</f>
        <v>3593.4722149999998</v>
      </c>
      <c r="N16" s="180">
        <f>SUM(N$3:N$13)*0.0145</f>
        <v>4122.6037500000002</v>
      </c>
    </row>
    <row r="17" spans="1:14" x14ac:dyDescent="0.2">
      <c r="A17" s="196" t="s">
        <v>573</v>
      </c>
      <c r="B17" s="58" t="s">
        <v>232</v>
      </c>
      <c r="C17" s="49">
        <f>SUM(C3:C13)*0.062</f>
        <v>11226.014499999999</v>
      </c>
      <c r="D17" s="49">
        <f>SUM(D$3:D$13)*0.062</f>
        <v>11726.172685</v>
      </c>
      <c r="E17" s="180">
        <v>5654.67</v>
      </c>
      <c r="F17" s="138">
        <f>SUM(F$3:F$13)*0.062</f>
        <v>11807.2955</v>
      </c>
      <c r="G17" s="49">
        <v>12681.68</v>
      </c>
      <c r="H17" s="180">
        <v>6312.62</v>
      </c>
      <c r="I17" s="138">
        <f>SUM(I$4:I$9)*0.062</f>
        <v>11196.394</v>
      </c>
      <c r="J17" s="232">
        <f>SUM(J$3:J$13)*0.062</f>
        <v>15256.536539999999</v>
      </c>
      <c r="K17" s="49">
        <f>SUM(K$3:K$13)*0.062</f>
        <v>558</v>
      </c>
      <c r="L17" s="363">
        <v>7356.51</v>
      </c>
      <c r="M17" s="232">
        <f>SUM(M$3:M$13)*0.062</f>
        <v>15365.191539999998</v>
      </c>
      <c r="N17" s="180">
        <f>SUM(N$3:N$13)*0.062</f>
        <v>17627.685000000001</v>
      </c>
    </row>
    <row r="18" spans="1:14" x14ac:dyDescent="0.2">
      <c r="A18" s="196" t="s">
        <v>574</v>
      </c>
      <c r="B18" s="58" t="s">
        <v>234</v>
      </c>
      <c r="C18" s="50">
        <v>33950.085120000003</v>
      </c>
      <c r="D18" s="49">
        <v>54696.959999999999</v>
      </c>
      <c r="E18" s="180">
        <v>25182.95</v>
      </c>
      <c r="F18" s="180">
        <v>55790</v>
      </c>
      <c r="G18" s="49">
        <v>53150</v>
      </c>
      <c r="H18" s="180">
        <v>27866.16</v>
      </c>
      <c r="I18" s="138">
        <v>67834.080000000002</v>
      </c>
      <c r="J18" s="138">
        <v>67834.080000000002</v>
      </c>
      <c r="K18" s="2"/>
      <c r="L18" s="363">
        <v>28264.2</v>
      </c>
      <c r="M18" s="138">
        <v>72648</v>
      </c>
      <c r="N18" s="49">
        <v>76753.440000000002</v>
      </c>
    </row>
    <row r="19" spans="1:14" x14ac:dyDescent="0.2">
      <c r="A19" s="196" t="s">
        <v>575</v>
      </c>
      <c r="B19" s="58" t="s">
        <v>236</v>
      </c>
      <c r="C19" s="49">
        <v>14460</v>
      </c>
      <c r="D19" s="49"/>
      <c r="E19" s="180">
        <v>0</v>
      </c>
      <c r="F19" s="180"/>
      <c r="G19" s="49">
        <v>0</v>
      </c>
      <c r="H19" s="180">
        <v>0</v>
      </c>
      <c r="I19" s="138"/>
      <c r="J19" s="138"/>
      <c r="K19" s="2"/>
      <c r="L19" s="363">
        <v>0</v>
      </c>
      <c r="M19" s="138"/>
      <c r="N19" s="3"/>
    </row>
    <row r="20" spans="1:14" x14ac:dyDescent="0.2">
      <c r="A20" s="196" t="s">
        <v>1586</v>
      </c>
      <c r="B20" s="58" t="s">
        <v>1571</v>
      </c>
      <c r="C20" s="49"/>
      <c r="D20" s="49"/>
      <c r="E20" s="180"/>
      <c r="F20" s="180"/>
      <c r="G20" s="49"/>
      <c r="H20" s="180"/>
      <c r="I20" s="138"/>
      <c r="J20" s="138">
        <v>0</v>
      </c>
      <c r="K20" s="2"/>
      <c r="L20" s="363">
        <v>4212.3900000000003</v>
      </c>
      <c r="M20" s="138"/>
      <c r="N20" s="3"/>
    </row>
    <row r="21" spans="1:14" x14ac:dyDescent="0.2">
      <c r="A21" s="196" t="s">
        <v>576</v>
      </c>
      <c r="B21" s="58" t="s">
        <v>368</v>
      </c>
      <c r="C21" s="49"/>
      <c r="D21" s="49"/>
      <c r="E21" s="180">
        <v>0</v>
      </c>
      <c r="F21" s="180">
        <v>1000</v>
      </c>
      <c r="G21" s="180">
        <v>1500</v>
      </c>
      <c r="H21" s="180">
        <v>0</v>
      </c>
      <c r="I21" s="232">
        <v>1500</v>
      </c>
      <c r="J21" s="232">
        <v>1500</v>
      </c>
      <c r="K21" s="2"/>
      <c r="L21" s="363">
        <v>316.92</v>
      </c>
      <c r="M21" s="138">
        <v>2000</v>
      </c>
      <c r="N21" s="49">
        <v>4500</v>
      </c>
    </row>
    <row r="22" spans="1:14" x14ac:dyDescent="0.2">
      <c r="A22" s="196" t="s">
        <v>577</v>
      </c>
      <c r="B22" s="58" t="s">
        <v>578</v>
      </c>
      <c r="C22" s="49">
        <v>1000</v>
      </c>
      <c r="D22" s="49">
        <v>1000</v>
      </c>
      <c r="E22" s="180">
        <v>1547.5</v>
      </c>
      <c r="F22" s="180">
        <v>1500</v>
      </c>
      <c r="G22" s="180">
        <v>1500</v>
      </c>
      <c r="H22" s="180">
        <v>0</v>
      </c>
      <c r="I22" s="232">
        <v>1500</v>
      </c>
      <c r="J22" s="232">
        <v>1500</v>
      </c>
      <c r="K22" s="2"/>
      <c r="L22" s="363">
        <v>344.42</v>
      </c>
      <c r="M22" s="232">
        <v>1500</v>
      </c>
      <c r="N22" s="180">
        <v>1500</v>
      </c>
    </row>
    <row r="23" spans="1:14" x14ac:dyDescent="0.2">
      <c r="A23" s="505" t="s">
        <v>579</v>
      </c>
      <c r="B23" s="58" t="s">
        <v>580</v>
      </c>
      <c r="C23" s="49">
        <v>600</v>
      </c>
      <c r="D23" s="49">
        <v>500</v>
      </c>
      <c r="E23" s="180">
        <v>0</v>
      </c>
      <c r="F23" s="180">
        <v>500</v>
      </c>
      <c r="G23" s="180">
        <v>500</v>
      </c>
      <c r="H23" s="180">
        <v>0</v>
      </c>
      <c r="I23" s="232">
        <v>500</v>
      </c>
      <c r="J23" s="232">
        <v>500</v>
      </c>
      <c r="K23" s="2"/>
      <c r="L23" s="363">
        <v>0</v>
      </c>
      <c r="M23" s="232">
        <v>500</v>
      </c>
      <c r="N23" s="180">
        <v>500</v>
      </c>
    </row>
    <row r="24" spans="1:14" x14ac:dyDescent="0.2">
      <c r="A24" s="196" t="s">
        <v>581</v>
      </c>
      <c r="B24" s="58" t="s">
        <v>285</v>
      </c>
      <c r="C24" s="197">
        <v>2000</v>
      </c>
      <c r="D24" s="197">
        <v>2500</v>
      </c>
      <c r="E24" s="180">
        <v>2095.92</v>
      </c>
      <c r="F24" s="180">
        <v>3000</v>
      </c>
      <c r="G24" s="180">
        <v>1500</v>
      </c>
      <c r="H24" s="180">
        <v>416.8</v>
      </c>
      <c r="I24" s="232">
        <v>1500</v>
      </c>
      <c r="J24" s="232">
        <v>1500</v>
      </c>
      <c r="K24" s="2"/>
      <c r="L24" s="363">
        <v>589.20000000000005</v>
      </c>
      <c r="M24" s="232">
        <v>1500</v>
      </c>
      <c r="N24" s="49">
        <v>2500</v>
      </c>
    </row>
    <row r="25" spans="1:14" x14ac:dyDescent="0.2">
      <c r="A25" s="196" t="s">
        <v>582</v>
      </c>
      <c r="B25" s="58" t="s">
        <v>583</v>
      </c>
      <c r="C25" s="197">
        <v>8000</v>
      </c>
      <c r="D25" s="197">
        <v>8000</v>
      </c>
      <c r="E25" s="180">
        <v>843.36</v>
      </c>
      <c r="F25" s="180">
        <v>8000</v>
      </c>
      <c r="G25" s="180">
        <v>8000</v>
      </c>
      <c r="H25" s="180">
        <v>2318.13</v>
      </c>
      <c r="I25" s="239">
        <v>8000</v>
      </c>
      <c r="J25" s="239">
        <v>8000</v>
      </c>
      <c r="K25" s="2"/>
      <c r="L25" s="363">
        <v>4554.43</v>
      </c>
      <c r="M25" s="239">
        <v>8000</v>
      </c>
      <c r="N25" s="3">
        <v>10000</v>
      </c>
    </row>
    <row r="26" spans="1:14" x14ac:dyDescent="0.2">
      <c r="A26" s="196" t="s">
        <v>584</v>
      </c>
      <c r="B26" s="58" t="s">
        <v>585</v>
      </c>
      <c r="C26" s="197">
        <v>22000</v>
      </c>
      <c r="D26" s="197">
        <v>22000</v>
      </c>
      <c r="E26" s="180">
        <v>5169.6499999999996</v>
      </c>
      <c r="F26" s="180">
        <v>22000</v>
      </c>
      <c r="G26" s="180">
        <v>22000</v>
      </c>
      <c r="H26" s="180">
        <v>5516.19</v>
      </c>
      <c r="I26" s="232">
        <v>22000</v>
      </c>
      <c r="J26" s="232">
        <v>22000</v>
      </c>
      <c r="K26" s="2"/>
      <c r="L26" s="363">
        <v>12164.43</v>
      </c>
      <c r="M26" s="232">
        <v>25000</v>
      </c>
      <c r="N26" s="581">
        <v>31952.55</v>
      </c>
    </row>
    <row r="27" spans="1:14" x14ac:dyDescent="0.2">
      <c r="A27" s="196" t="s">
        <v>586</v>
      </c>
      <c r="B27" s="58" t="s">
        <v>587</v>
      </c>
      <c r="C27" s="197">
        <v>7500</v>
      </c>
      <c r="D27" s="197">
        <v>8000</v>
      </c>
      <c r="E27" s="180">
        <v>727.12</v>
      </c>
      <c r="F27" s="180">
        <v>8000</v>
      </c>
      <c r="G27" s="180">
        <v>15000</v>
      </c>
      <c r="H27" s="180">
        <v>6446.41</v>
      </c>
      <c r="I27" s="232">
        <v>15000</v>
      </c>
      <c r="J27" s="232">
        <v>15000</v>
      </c>
      <c r="K27" s="2"/>
      <c r="L27" s="363">
        <v>3657.65</v>
      </c>
      <c r="M27" s="232">
        <v>15000</v>
      </c>
      <c r="N27" s="180">
        <v>15000</v>
      </c>
    </row>
    <row r="28" spans="1:14" x14ac:dyDescent="0.2">
      <c r="A28" s="196" t="s">
        <v>588</v>
      </c>
      <c r="B28" s="58" t="s">
        <v>589</v>
      </c>
      <c r="C28" s="49">
        <v>4000</v>
      </c>
      <c r="D28" s="49">
        <v>4000</v>
      </c>
      <c r="E28" s="180">
        <v>0</v>
      </c>
      <c r="F28" s="180">
        <v>4000</v>
      </c>
      <c r="G28" s="180">
        <v>10000</v>
      </c>
      <c r="H28" s="180">
        <v>13615</v>
      </c>
      <c r="I28" s="232">
        <v>3000</v>
      </c>
      <c r="J28" s="232">
        <v>10000</v>
      </c>
      <c r="K28" s="2"/>
      <c r="L28" s="363">
        <v>21202.95</v>
      </c>
      <c r="M28" s="232">
        <v>15000</v>
      </c>
      <c r="N28" s="180">
        <v>15000</v>
      </c>
    </row>
    <row r="29" spans="1:14" x14ac:dyDescent="0.2">
      <c r="A29" s="196" t="s">
        <v>590</v>
      </c>
      <c r="B29" s="58" t="s">
        <v>591</v>
      </c>
      <c r="C29" s="49">
        <v>1000</v>
      </c>
      <c r="D29" s="49">
        <v>1000</v>
      </c>
      <c r="E29" s="180">
        <v>0</v>
      </c>
      <c r="F29" s="180">
        <v>1000</v>
      </c>
      <c r="G29" s="180">
        <v>3000</v>
      </c>
      <c r="H29" s="180">
        <v>0</v>
      </c>
      <c r="I29" s="232">
        <v>3000</v>
      </c>
      <c r="J29" s="232">
        <v>3000</v>
      </c>
      <c r="K29" s="2"/>
      <c r="L29" s="363">
        <v>0</v>
      </c>
      <c r="M29" s="232">
        <v>3000</v>
      </c>
      <c r="N29" s="180">
        <v>4500</v>
      </c>
    </row>
    <row r="30" spans="1:14" x14ac:dyDescent="0.2">
      <c r="A30" s="196" t="s">
        <v>592</v>
      </c>
      <c r="B30" s="58" t="s">
        <v>593</v>
      </c>
      <c r="C30" s="49"/>
      <c r="D30" s="49"/>
      <c r="E30" s="180">
        <v>0</v>
      </c>
      <c r="F30" s="180"/>
      <c r="G30" s="180">
        <v>0</v>
      </c>
      <c r="H30" s="180">
        <v>0</v>
      </c>
      <c r="K30" s="2"/>
      <c r="L30" s="363">
        <v>0</v>
      </c>
      <c r="M30" s="239">
        <v>3000</v>
      </c>
      <c r="N30" s="180"/>
    </row>
    <row r="31" spans="1:14" x14ac:dyDescent="0.2">
      <c r="A31" s="505" t="s">
        <v>594</v>
      </c>
      <c r="B31" s="58" t="s">
        <v>595</v>
      </c>
      <c r="C31" s="49">
        <v>3500</v>
      </c>
      <c r="D31" s="49">
        <v>4500</v>
      </c>
      <c r="E31" s="180">
        <v>0</v>
      </c>
      <c r="F31" s="180">
        <v>3000</v>
      </c>
      <c r="G31" s="180">
        <v>3000</v>
      </c>
      <c r="H31" s="180">
        <v>550</v>
      </c>
      <c r="I31" s="232">
        <v>3000</v>
      </c>
      <c r="J31" s="232">
        <v>3000</v>
      </c>
      <c r="K31" s="2"/>
      <c r="L31" s="363">
        <v>807.76</v>
      </c>
      <c r="M31" s="232">
        <v>3000</v>
      </c>
      <c r="N31" s="180">
        <v>3500</v>
      </c>
    </row>
    <row r="32" spans="1:14" x14ac:dyDescent="0.2">
      <c r="A32" s="196" t="s">
        <v>596</v>
      </c>
      <c r="B32" s="58" t="s">
        <v>597</v>
      </c>
      <c r="C32" s="49">
        <v>1200</v>
      </c>
      <c r="D32" s="49">
        <v>1000</v>
      </c>
      <c r="E32" s="180">
        <v>437.22</v>
      </c>
      <c r="F32" s="180">
        <v>1000</v>
      </c>
      <c r="G32" s="180">
        <v>1000</v>
      </c>
      <c r="H32" s="180">
        <v>102.31</v>
      </c>
      <c r="I32" s="232">
        <v>1000</v>
      </c>
      <c r="J32" s="232">
        <v>1000</v>
      </c>
      <c r="K32" s="2"/>
      <c r="L32" s="363">
        <v>160.80000000000001</v>
      </c>
      <c r="M32" s="232">
        <v>1000</v>
      </c>
      <c r="N32" s="180">
        <v>1000</v>
      </c>
    </row>
    <row r="33" spans="1:14" hidden="1" x14ac:dyDescent="0.2">
      <c r="A33" s="196" t="s">
        <v>598</v>
      </c>
      <c r="B33" s="58" t="s">
        <v>599</v>
      </c>
      <c r="C33" s="49">
        <v>600</v>
      </c>
      <c r="D33" s="49">
        <v>600</v>
      </c>
      <c r="E33" s="180">
        <v>300</v>
      </c>
      <c r="F33" s="180">
        <v>600</v>
      </c>
      <c r="G33" s="180">
        <v>600</v>
      </c>
      <c r="H33" s="180">
        <v>0</v>
      </c>
      <c r="I33" s="232">
        <v>600</v>
      </c>
      <c r="J33" s="232">
        <v>600</v>
      </c>
      <c r="K33" s="2"/>
      <c r="L33" s="363">
        <v>0</v>
      </c>
      <c r="M33" s="232">
        <v>600</v>
      </c>
      <c r="N33" s="180">
        <v>600</v>
      </c>
    </row>
    <row r="34" spans="1:14" x14ac:dyDescent="0.2">
      <c r="A34" s="196" t="s">
        <v>600</v>
      </c>
      <c r="B34" s="58" t="s">
        <v>601</v>
      </c>
      <c r="C34" s="49">
        <v>2500</v>
      </c>
      <c r="D34" s="49">
        <v>2050.2800000000002</v>
      </c>
      <c r="E34" s="180">
        <v>1612.17</v>
      </c>
      <c r="F34" s="180">
        <v>2000</v>
      </c>
      <c r="G34" s="180">
        <v>1000</v>
      </c>
      <c r="H34" s="180">
        <v>0</v>
      </c>
      <c r="I34" s="232">
        <v>1000</v>
      </c>
      <c r="J34" s="232">
        <v>1000</v>
      </c>
      <c r="K34" s="2"/>
      <c r="L34" s="363">
        <v>0</v>
      </c>
      <c r="M34" s="232">
        <v>1000</v>
      </c>
      <c r="N34" s="180">
        <v>1000</v>
      </c>
    </row>
    <row r="35" spans="1:14" x14ac:dyDescent="0.2">
      <c r="A35" s="196" t="s">
        <v>602</v>
      </c>
      <c r="B35" s="58" t="s">
        <v>258</v>
      </c>
      <c r="C35" s="49">
        <v>1000</v>
      </c>
      <c r="D35" s="49">
        <v>1000</v>
      </c>
      <c r="E35" s="180">
        <v>529.63</v>
      </c>
      <c r="F35" s="180">
        <v>1000</v>
      </c>
      <c r="G35" s="180">
        <v>1000</v>
      </c>
      <c r="H35" s="180">
        <v>432.33</v>
      </c>
      <c r="I35" s="239">
        <v>1000</v>
      </c>
      <c r="J35" s="239">
        <v>1000</v>
      </c>
      <c r="K35" s="2"/>
      <c r="L35" s="363">
        <v>401.3</v>
      </c>
      <c r="M35" s="239">
        <v>1000</v>
      </c>
      <c r="N35" s="180">
        <v>1000</v>
      </c>
    </row>
    <row r="36" spans="1:14" x14ac:dyDescent="0.2">
      <c r="A36" s="505" t="s">
        <v>603</v>
      </c>
      <c r="B36" s="58" t="s">
        <v>604</v>
      </c>
      <c r="C36" s="49">
        <v>2400</v>
      </c>
      <c r="D36" s="138">
        <v>3400</v>
      </c>
      <c r="E36" s="180">
        <v>2700</v>
      </c>
      <c r="F36" s="180">
        <v>3500</v>
      </c>
      <c r="G36" s="180">
        <v>1500</v>
      </c>
      <c r="H36" s="180">
        <v>0</v>
      </c>
      <c r="I36" s="232">
        <v>1000</v>
      </c>
      <c r="J36" s="232">
        <v>1000</v>
      </c>
      <c r="K36" s="2"/>
      <c r="L36" s="363">
        <v>1448.09</v>
      </c>
      <c r="M36" s="232">
        <v>1000</v>
      </c>
      <c r="N36" s="180">
        <v>1000</v>
      </c>
    </row>
    <row r="37" spans="1:14" x14ac:dyDescent="0.2">
      <c r="A37" s="505" t="s">
        <v>1492</v>
      </c>
      <c r="B37" s="58" t="s">
        <v>1493</v>
      </c>
      <c r="C37" s="49"/>
      <c r="D37" s="138"/>
      <c r="E37" s="180"/>
      <c r="F37" s="180"/>
      <c r="G37" s="180">
        <v>1000</v>
      </c>
      <c r="H37" s="180">
        <v>0</v>
      </c>
      <c r="I37" s="232">
        <v>1500</v>
      </c>
      <c r="J37" s="232">
        <v>1500</v>
      </c>
      <c r="K37" s="2"/>
      <c r="L37" s="363">
        <v>0</v>
      </c>
      <c r="M37" s="232">
        <v>1500</v>
      </c>
      <c r="N37" s="180">
        <v>1500</v>
      </c>
    </row>
    <row r="38" spans="1:14" x14ac:dyDescent="0.2">
      <c r="A38" s="196" t="s">
        <v>605</v>
      </c>
      <c r="B38" s="58" t="s">
        <v>606</v>
      </c>
      <c r="C38" s="49">
        <v>3000</v>
      </c>
      <c r="D38" s="138">
        <v>3000</v>
      </c>
      <c r="E38" s="180">
        <v>769.55</v>
      </c>
      <c r="F38" s="180">
        <v>3000</v>
      </c>
      <c r="G38" s="180">
        <v>3000</v>
      </c>
      <c r="H38" s="180">
        <v>0</v>
      </c>
      <c r="I38" s="180">
        <v>3000</v>
      </c>
      <c r="J38" s="180">
        <v>3000</v>
      </c>
      <c r="K38" s="2"/>
      <c r="L38" s="363">
        <v>0</v>
      </c>
      <c r="M38" s="232">
        <v>3000</v>
      </c>
      <c r="N38" s="180">
        <v>3000</v>
      </c>
    </row>
    <row r="39" spans="1:14" hidden="1" x14ac:dyDescent="0.2">
      <c r="A39" s="505" t="s">
        <v>607</v>
      </c>
      <c r="B39" s="476" t="s">
        <v>608</v>
      </c>
      <c r="C39" s="49"/>
      <c r="D39" s="138"/>
      <c r="E39" s="180"/>
      <c r="F39" s="180"/>
      <c r="G39" s="180"/>
      <c r="H39" s="180"/>
      <c r="I39" s="180"/>
      <c r="J39" s="180"/>
      <c r="K39" s="2"/>
      <c r="L39" s="363"/>
      <c r="M39" s="232"/>
      <c r="N39" s="180"/>
    </row>
    <row r="40" spans="1:14" hidden="1" x14ac:dyDescent="0.2">
      <c r="A40" s="505" t="s">
        <v>609</v>
      </c>
      <c r="B40" s="58" t="s">
        <v>610</v>
      </c>
      <c r="C40" s="49"/>
      <c r="D40" s="138"/>
      <c r="E40" s="180"/>
      <c r="F40" s="180"/>
      <c r="G40" s="180"/>
      <c r="H40" s="180"/>
      <c r="I40" s="180"/>
      <c r="J40" s="180"/>
      <c r="K40" s="2"/>
      <c r="L40" s="506"/>
      <c r="M40" s="232"/>
      <c r="N40" s="180"/>
    </row>
    <row r="41" spans="1:14" hidden="1" x14ac:dyDescent="0.2">
      <c r="A41" s="505" t="s">
        <v>611</v>
      </c>
      <c r="B41" s="476" t="s">
        <v>612</v>
      </c>
      <c r="C41" s="49"/>
      <c r="D41" s="138"/>
      <c r="E41" s="180"/>
      <c r="F41" s="180"/>
      <c r="G41" s="180"/>
      <c r="H41" s="180"/>
      <c r="I41" s="180"/>
      <c r="J41" s="180"/>
      <c r="K41" s="2"/>
      <c r="L41" s="273"/>
      <c r="M41" s="232"/>
      <c r="N41" s="180"/>
    </row>
    <row r="42" spans="1:14" x14ac:dyDescent="0.2">
      <c r="A42" s="505" t="s">
        <v>607</v>
      </c>
      <c r="B42" s="476" t="s">
        <v>613</v>
      </c>
      <c r="C42" s="49">
        <v>2400</v>
      </c>
      <c r="D42" s="138">
        <v>2000</v>
      </c>
      <c r="E42" s="180">
        <v>0</v>
      </c>
      <c r="F42" s="180">
        <v>1000</v>
      </c>
      <c r="G42" s="180">
        <v>1000</v>
      </c>
      <c r="H42" s="180">
        <v>0</v>
      </c>
      <c r="I42" s="180">
        <v>1000</v>
      </c>
      <c r="J42" s="180">
        <v>1000</v>
      </c>
      <c r="K42" s="2"/>
      <c r="L42" s="507">
        <v>1018.85</v>
      </c>
      <c r="M42" s="232">
        <v>1500</v>
      </c>
      <c r="N42" s="180">
        <v>1500</v>
      </c>
    </row>
    <row r="43" spans="1:14" hidden="1" x14ac:dyDescent="0.2">
      <c r="A43" s="505"/>
      <c r="B43" s="476" t="s">
        <v>614</v>
      </c>
      <c r="C43" s="49"/>
      <c r="D43" s="138"/>
      <c r="E43" s="180"/>
      <c r="F43" s="180"/>
      <c r="G43" s="180"/>
      <c r="H43" s="180"/>
      <c r="I43" s="180"/>
      <c r="J43" s="180"/>
      <c r="K43" s="2"/>
      <c r="L43" s="506"/>
      <c r="M43" s="232"/>
      <c r="N43" s="180"/>
    </row>
    <row r="44" spans="1:14" hidden="1" x14ac:dyDescent="0.2">
      <c r="A44" s="505"/>
      <c r="B44" s="476" t="s">
        <v>615</v>
      </c>
      <c r="C44" s="49"/>
      <c r="D44" s="138"/>
      <c r="E44" s="180"/>
      <c r="F44" s="180"/>
      <c r="G44" s="180"/>
      <c r="H44" s="180"/>
      <c r="I44" s="180"/>
      <c r="J44" s="180"/>
      <c r="K44" s="2"/>
      <c r="L44" s="506"/>
      <c r="M44" s="232"/>
      <c r="N44" s="180"/>
    </row>
    <row r="45" spans="1:14" hidden="1" x14ac:dyDescent="0.2">
      <c r="A45" s="505"/>
      <c r="B45" s="476" t="s">
        <v>616</v>
      </c>
      <c r="C45" s="49"/>
      <c r="D45" s="138"/>
      <c r="E45" s="180"/>
      <c r="F45" s="180"/>
      <c r="G45" s="180"/>
      <c r="H45" s="180"/>
      <c r="I45" s="180"/>
      <c r="J45" s="180"/>
      <c r="K45" s="2"/>
      <c r="L45" s="506"/>
      <c r="M45" s="232"/>
      <c r="N45" s="180"/>
    </row>
    <row r="46" spans="1:14" hidden="1" x14ac:dyDescent="0.2">
      <c r="A46" s="505"/>
      <c r="B46" s="476" t="s">
        <v>617</v>
      </c>
      <c r="C46" s="49"/>
      <c r="D46" s="138"/>
      <c r="E46" s="180"/>
      <c r="F46" s="180"/>
      <c r="G46" s="180"/>
      <c r="H46" s="180"/>
      <c r="I46" s="180"/>
      <c r="J46" s="180"/>
      <c r="K46" s="2"/>
      <c r="L46" s="506"/>
      <c r="M46" s="232"/>
      <c r="N46" s="180"/>
    </row>
    <row r="47" spans="1:14" hidden="1" x14ac:dyDescent="0.2">
      <c r="A47" s="505"/>
      <c r="B47" s="476" t="s">
        <v>618</v>
      </c>
      <c r="C47" s="49"/>
      <c r="D47" s="138"/>
      <c r="E47" s="180"/>
      <c r="F47" s="180"/>
      <c r="G47" s="180"/>
      <c r="H47" s="180"/>
      <c r="I47" s="180"/>
      <c r="J47" s="180"/>
      <c r="K47" s="2"/>
      <c r="L47" s="506"/>
      <c r="M47" s="232"/>
      <c r="N47" s="180"/>
    </row>
    <row r="48" spans="1:14" hidden="1" x14ac:dyDescent="0.2">
      <c r="A48" s="505"/>
      <c r="B48" s="476" t="s">
        <v>619</v>
      </c>
      <c r="C48" s="49"/>
      <c r="D48" s="138"/>
      <c r="E48" s="180"/>
      <c r="F48" s="180"/>
      <c r="G48" s="180"/>
      <c r="H48" s="180"/>
      <c r="I48" s="180"/>
      <c r="J48" s="180"/>
      <c r="K48" s="2"/>
      <c r="L48" s="506"/>
      <c r="M48" s="232"/>
      <c r="N48" s="180"/>
    </row>
    <row r="49" spans="1:14" x14ac:dyDescent="0.2">
      <c r="A49" s="505" t="s">
        <v>609</v>
      </c>
      <c r="B49" s="476" t="s">
        <v>620</v>
      </c>
      <c r="C49" s="49">
        <v>1200</v>
      </c>
      <c r="D49" s="138">
        <v>1200</v>
      </c>
      <c r="E49" s="180">
        <v>0</v>
      </c>
      <c r="F49" s="180">
        <v>1185</v>
      </c>
      <c r="G49" s="180">
        <v>1185</v>
      </c>
      <c r="H49" s="180">
        <v>0</v>
      </c>
      <c r="I49" s="180">
        <v>1185</v>
      </c>
      <c r="J49" s="180">
        <v>1185</v>
      </c>
      <c r="K49" s="2"/>
      <c r="L49" s="506">
        <v>0</v>
      </c>
      <c r="M49" s="232">
        <v>1185</v>
      </c>
      <c r="N49" s="180">
        <v>2500</v>
      </c>
    </row>
    <row r="50" spans="1:14" hidden="1" x14ac:dyDescent="0.2">
      <c r="A50" s="505"/>
      <c r="B50" s="476" t="s">
        <v>621</v>
      </c>
      <c r="C50" s="49"/>
      <c r="D50" s="138"/>
      <c r="E50" s="180"/>
      <c r="F50" s="180"/>
      <c r="G50" s="180"/>
      <c r="H50" s="180"/>
      <c r="I50" s="180"/>
      <c r="J50" s="180"/>
      <c r="K50" s="2"/>
      <c r="L50" s="506"/>
      <c r="M50" s="232"/>
      <c r="N50" s="180"/>
    </row>
    <row r="51" spans="1:14" x14ac:dyDescent="0.2">
      <c r="A51" s="505" t="s">
        <v>611</v>
      </c>
      <c r="B51" s="476" t="s">
        <v>622</v>
      </c>
      <c r="C51" s="49">
        <v>440</v>
      </c>
      <c r="D51" s="138">
        <v>1000</v>
      </c>
      <c r="E51" s="180">
        <v>0</v>
      </c>
      <c r="F51" s="180">
        <v>1000</v>
      </c>
      <c r="G51" s="180">
        <v>0</v>
      </c>
      <c r="H51" s="180">
        <v>0</v>
      </c>
      <c r="I51" s="180">
        <v>0</v>
      </c>
      <c r="J51" s="180">
        <v>0</v>
      </c>
      <c r="K51" s="2"/>
      <c r="L51" s="506">
        <v>0</v>
      </c>
      <c r="M51" s="232">
        <v>0</v>
      </c>
      <c r="N51" s="180">
        <v>0</v>
      </c>
    </row>
    <row r="52" spans="1:14" x14ac:dyDescent="0.2">
      <c r="A52" s="505" t="s">
        <v>623</v>
      </c>
      <c r="B52" s="476" t="s">
        <v>624</v>
      </c>
      <c r="C52" s="49">
        <v>1000</v>
      </c>
      <c r="D52" s="138">
        <v>1000</v>
      </c>
      <c r="E52" s="180">
        <v>511.99</v>
      </c>
      <c r="F52" s="180">
        <v>1000</v>
      </c>
      <c r="G52" s="180">
        <v>1000</v>
      </c>
      <c r="H52" s="180">
        <v>969.25</v>
      </c>
      <c r="I52" s="180">
        <v>1000</v>
      </c>
      <c r="J52" s="180">
        <v>1000</v>
      </c>
      <c r="K52" s="2"/>
      <c r="L52" s="506">
        <v>325</v>
      </c>
      <c r="M52" s="232">
        <v>1000</v>
      </c>
      <c r="N52" s="180">
        <v>1000</v>
      </c>
    </row>
    <row r="53" spans="1:14" x14ac:dyDescent="0.2">
      <c r="A53" s="505" t="s">
        <v>1663</v>
      </c>
      <c r="B53" s="476" t="s">
        <v>1682</v>
      </c>
      <c r="C53" s="49"/>
      <c r="D53" s="138"/>
      <c r="E53" s="180"/>
      <c r="F53" s="180"/>
      <c r="G53" s="180"/>
      <c r="H53" s="180"/>
      <c r="I53" s="180"/>
      <c r="J53" s="180"/>
      <c r="K53" s="2"/>
      <c r="L53" s="506"/>
      <c r="M53" s="232"/>
      <c r="N53" s="600">
        <v>8300</v>
      </c>
    </row>
    <row r="54" spans="1:14" x14ac:dyDescent="0.2">
      <c r="A54" s="505" t="s">
        <v>625</v>
      </c>
      <c r="B54" s="476" t="s">
        <v>626</v>
      </c>
      <c r="C54" s="49">
        <v>1000</v>
      </c>
      <c r="D54" s="138">
        <v>1000</v>
      </c>
      <c r="E54" s="180">
        <v>1355.5</v>
      </c>
      <c r="F54" s="180">
        <v>2500</v>
      </c>
      <c r="G54" s="180">
        <v>2500</v>
      </c>
      <c r="H54" s="180">
        <v>0</v>
      </c>
      <c r="I54" s="180">
        <v>2500</v>
      </c>
      <c r="J54" s="180">
        <v>2500</v>
      </c>
      <c r="K54" s="2"/>
      <c r="L54" s="506">
        <v>0</v>
      </c>
      <c r="M54" s="232">
        <v>2500</v>
      </c>
      <c r="N54" s="600">
        <v>2500</v>
      </c>
    </row>
    <row r="55" spans="1:14" hidden="1" x14ac:dyDescent="0.2">
      <c r="A55" s="505"/>
      <c r="B55" s="476" t="s">
        <v>627</v>
      </c>
      <c r="C55" s="49"/>
      <c r="D55" s="138"/>
      <c r="E55" s="180"/>
      <c r="F55" s="180"/>
      <c r="G55" s="180"/>
      <c r="H55" s="180"/>
      <c r="I55" s="180"/>
      <c r="J55" s="180"/>
      <c r="K55" s="2"/>
      <c r="L55" s="506"/>
      <c r="M55" s="232"/>
      <c r="N55" s="180"/>
    </row>
    <row r="56" spans="1:14" x14ac:dyDescent="0.2">
      <c r="A56" s="505" t="s">
        <v>1521</v>
      </c>
      <c r="B56" s="476" t="s">
        <v>1400</v>
      </c>
      <c r="C56" s="49"/>
      <c r="D56" s="138"/>
      <c r="E56" s="180"/>
      <c r="F56" s="180"/>
      <c r="G56" s="180">
        <v>7200</v>
      </c>
      <c r="H56" s="180">
        <v>3600</v>
      </c>
      <c r="I56" s="180">
        <v>7200</v>
      </c>
      <c r="J56" s="180">
        <v>7200</v>
      </c>
      <c r="K56" s="2"/>
      <c r="L56" s="506">
        <v>3000</v>
      </c>
      <c r="M56" s="232">
        <v>7200</v>
      </c>
      <c r="N56" s="180">
        <v>7200</v>
      </c>
    </row>
    <row r="57" spans="1:14" ht="15" x14ac:dyDescent="0.25">
      <c r="A57" s="502"/>
      <c r="B57" s="57" t="s">
        <v>169</v>
      </c>
      <c r="C57" s="146">
        <f>SUM(C3:C54)</f>
        <v>338523.64124499995</v>
      </c>
      <c r="D57" s="157">
        <f>SUM(D3:D54)</f>
        <v>355243.45963875006</v>
      </c>
      <c r="E57" s="198">
        <f>SUM(E3:E55)</f>
        <v>157816.36000000002</v>
      </c>
      <c r="F57" s="198">
        <f>SUM(F3:F55)</f>
        <v>358936.75912499998</v>
      </c>
      <c r="G57" s="198">
        <f>SUM(G3:G56)</f>
        <v>421130.01999999996</v>
      </c>
      <c r="H57" s="198">
        <f>SUM(H3:H56)</f>
        <v>180777.93999999997</v>
      </c>
      <c r="I57" s="448">
        <f>SUM(I4:I56)</f>
        <v>384333.41500000004</v>
      </c>
      <c r="J57" s="230">
        <f>SUM(J3:J56)</f>
        <v>449078.091335</v>
      </c>
      <c r="K57" s="230">
        <f>SUM(K3:K56)</f>
        <v>10579.5</v>
      </c>
      <c r="L57" s="230">
        <f>SUM(L3:L56)</f>
        <v>216310.70000000004</v>
      </c>
      <c r="M57" s="531">
        <f>SUM(M3:M56)</f>
        <v>466960.772405</v>
      </c>
      <c r="N57" s="230">
        <f>SUM(N3:N56)</f>
        <v>534883.94124999992</v>
      </c>
    </row>
    <row r="58" spans="1:14" x14ac:dyDescent="0.2">
      <c r="A58"/>
      <c r="B58"/>
      <c r="C58"/>
    </row>
    <row r="59" spans="1:14" x14ac:dyDescent="0.2">
      <c r="A59"/>
      <c r="B59"/>
      <c r="C59"/>
    </row>
    <row r="60" spans="1:14" x14ac:dyDescent="0.2">
      <c r="A60"/>
      <c r="B60" t="s">
        <v>1664</v>
      </c>
      <c r="C60"/>
      <c r="N60" s="580">
        <v>4800</v>
      </c>
    </row>
    <row r="61" spans="1:14" x14ac:dyDescent="0.2">
      <c r="B61" s="54" t="s">
        <v>1665</v>
      </c>
      <c r="N61" s="580">
        <v>3500</v>
      </c>
    </row>
    <row r="62" spans="1:14" x14ac:dyDescent="0.2">
      <c r="N62" s="235">
        <f>SUM(N60:N61)</f>
        <v>8300</v>
      </c>
    </row>
  </sheetData>
  <phoneticPr fontId="24" type="noConversion"/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K1" sqref="K1:K1048576"/>
    </sheetView>
  </sheetViews>
  <sheetFormatPr defaultRowHeight="14.25" x14ac:dyDescent="0.2"/>
  <cols>
    <col min="1" max="1" width="10.75" style="482" customWidth="1"/>
    <col min="2" max="2" width="26" style="483" customWidth="1"/>
    <col min="3" max="3" width="13.375" style="172" hidden="1" customWidth="1"/>
    <col min="4" max="4" width="3.375" hidden="1" customWidth="1"/>
    <col min="5" max="5" width="13.375" hidden="1" customWidth="1"/>
    <col min="6" max="6" width="13.75" hidden="1" customWidth="1"/>
    <col min="7" max="7" width="12.875" hidden="1" customWidth="1"/>
    <col min="8" max="8" width="12.75" hidden="1" customWidth="1"/>
    <col min="9" max="9" width="12.5" style="172" hidden="1" customWidth="1"/>
    <col min="10" max="10" width="12.25" hidden="1" customWidth="1"/>
    <col min="11" max="11" width="15" hidden="1" customWidth="1"/>
    <col min="12" max="12" width="17.875" customWidth="1"/>
  </cols>
  <sheetData>
    <row r="1" spans="1:12" x14ac:dyDescent="0.2">
      <c r="H1" s="2"/>
      <c r="I1" s="49"/>
    </row>
    <row r="2" spans="1:12" ht="58.5" customHeight="1" x14ac:dyDescent="0.25">
      <c r="A2" s="484"/>
      <c r="B2" s="485" t="s">
        <v>13</v>
      </c>
      <c r="C2" s="486" t="s">
        <v>628</v>
      </c>
      <c r="D2" s="143" t="s">
        <v>1351</v>
      </c>
      <c r="E2" s="487" t="s">
        <v>1497</v>
      </c>
      <c r="F2" s="143" t="s">
        <v>1494</v>
      </c>
      <c r="G2" s="154" t="s">
        <v>1505</v>
      </c>
      <c r="H2" s="266" t="s">
        <v>1587</v>
      </c>
      <c r="I2" s="26"/>
      <c r="J2" s="143" t="s">
        <v>1568</v>
      </c>
      <c r="K2" s="488" t="s">
        <v>1634</v>
      </c>
      <c r="L2" s="488" t="s">
        <v>1686</v>
      </c>
    </row>
    <row r="3" spans="1:12" x14ac:dyDescent="0.2">
      <c r="A3" s="489"/>
      <c r="B3" s="490"/>
      <c r="C3" s="26"/>
      <c r="D3" s="305"/>
      <c r="E3" s="305"/>
      <c r="F3" s="491"/>
      <c r="G3" s="492"/>
      <c r="H3" s="305"/>
      <c r="I3" s="26"/>
      <c r="J3" s="361"/>
      <c r="K3" s="361"/>
      <c r="L3" s="2"/>
    </row>
    <row r="4" spans="1:12" x14ac:dyDescent="0.2">
      <c r="A4" s="489" t="s">
        <v>629</v>
      </c>
      <c r="B4" s="490" t="s">
        <v>630</v>
      </c>
      <c r="C4" s="26">
        <v>24159.82</v>
      </c>
      <c r="D4" s="493">
        <v>12993.01</v>
      </c>
      <c r="E4" s="26">
        <v>24343</v>
      </c>
      <c r="F4" s="493">
        <v>10653.41</v>
      </c>
      <c r="G4" s="374">
        <v>25843</v>
      </c>
      <c r="H4" s="374">
        <v>26343</v>
      </c>
      <c r="I4" s="26">
        <f>SUM(H$4-E$4)</f>
        <v>2000</v>
      </c>
      <c r="J4" s="361">
        <v>11304.86</v>
      </c>
      <c r="K4" s="26">
        <f>SUM(H4)*1.03</f>
        <v>27133.29</v>
      </c>
      <c r="L4" s="3">
        <f>SUM(K$4*1.05)</f>
        <v>28489.954500000003</v>
      </c>
    </row>
    <row r="5" spans="1:12" x14ac:dyDescent="0.2">
      <c r="A5" s="489" t="s">
        <v>631</v>
      </c>
      <c r="B5" s="490" t="s">
        <v>632</v>
      </c>
      <c r="C5" s="26">
        <v>4000</v>
      </c>
      <c r="D5" s="493">
        <v>8206.6299999999992</v>
      </c>
      <c r="E5" s="493">
        <v>2000</v>
      </c>
      <c r="F5" s="493">
        <v>233.2</v>
      </c>
      <c r="G5" s="494">
        <v>2000</v>
      </c>
      <c r="H5" s="494">
        <v>2000</v>
      </c>
      <c r="I5" s="26"/>
      <c r="J5" s="362">
        <v>0</v>
      </c>
      <c r="K5" s="361">
        <v>2000</v>
      </c>
      <c r="L5" s="23">
        <v>2000</v>
      </c>
    </row>
    <row r="6" spans="1:12" x14ac:dyDescent="0.2">
      <c r="A6" s="489" t="s">
        <v>633</v>
      </c>
      <c r="B6" s="490" t="s">
        <v>220</v>
      </c>
      <c r="C6" s="26"/>
      <c r="D6" s="493">
        <v>137.5</v>
      </c>
      <c r="E6" s="26">
        <v>0</v>
      </c>
      <c r="F6" s="493">
        <v>0</v>
      </c>
      <c r="G6" s="374"/>
      <c r="H6" s="374"/>
      <c r="I6" s="26"/>
      <c r="J6" s="362">
        <v>0</v>
      </c>
      <c r="K6" s="361"/>
      <c r="L6" s="23">
        <v>275</v>
      </c>
    </row>
    <row r="7" spans="1:12" x14ac:dyDescent="0.2">
      <c r="A7" s="489" t="s">
        <v>634</v>
      </c>
      <c r="B7" s="490" t="s">
        <v>226</v>
      </c>
      <c r="C7" s="26">
        <v>750</v>
      </c>
      <c r="D7" s="493">
        <v>615.91999999999996</v>
      </c>
      <c r="E7" s="26">
        <v>1500</v>
      </c>
      <c r="F7" s="493">
        <v>300.08999999999997</v>
      </c>
      <c r="G7" s="26">
        <v>1500</v>
      </c>
      <c r="H7" s="26">
        <v>1500</v>
      </c>
      <c r="I7" s="26"/>
      <c r="J7" s="362">
        <v>369.38</v>
      </c>
      <c r="K7" s="361">
        <v>1200</v>
      </c>
      <c r="L7" s="23">
        <v>1200</v>
      </c>
    </row>
    <row r="8" spans="1:12" x14ac:dyDescent="0.2">
      <c r="A8" s="489" t="s">
        <v>635</v>
      </c>
      <c r="B8" s="490" t="s">
        <v>228</v>
      </c>
      <c r="C8" s="26">
        <f>SUM(C4:C5)*0.129</f>
        <v>3632.6167800000003</v>
      </c>
      <c r="D8" s="493">
        <v>1546.79</v>
      </c>
      <c r="E8" s="26">
        <v>3398.25</v>
      </c>
      <c r="F8" s="493">
        <v>1195.6199999999999</v>
      </c>
      <c r="G8" s="26">
        <f>SUM(G$4:G$7)*0.099</f>
        <v>2904.9570000000003</v>
      </c>
      <c r="H8" s="26">
        <f>SUM(H$4:H$6)*0.099</f>
        <v>2805.9570000000003</v>
      </c>
      <c r="I8" s="26">
        <f>SUM(I$4)*0.099</f>
        <v>198</v>
      </c>
      <c r="J8" s="362">
        <v>1269.68</v>
      </c>
      <c r="K8" s="26">
        <f>SUM(K$4:K$6)*0.095</f>
        <v>2767.66255</v>
      </c>
      <c r="L8" s="26">
        <f>SUM(L$4:L$6)*0.085</f>
        <v>2615.0211325000005</v>
      </c>
    </row>
    <row r="9" spans="1:12" x14ac:dyDescent="0.2">
      <c r="A9" s="489" t="s">
        <v>636</v>
      </c>
      <c r="B9" s="490" t="s">
        <v>230</v>
      </c>
      <c r="C9" s="26">
        <f>SUM(C4:C5)*0.0145</f>
        <v>408.31738999999999</v>
      </c>
      <c r="D9" s="493">
        <v>302.13</v>
      </c>
      <c r="E9" s="26">
        <v>381.97</v>
      </c>
      <c r="F9" s="493">
        <v>160.19</v>
      </c>
      <c r="G9" s="26">
        <f ca="1">SUM(G$4:G$9)*0.0145</f>
        <v>3195.8580000000002</v>
      </c>
      <c r="H9" s="26">
        <f>SUM(H$4:H$6)*0.0145</f>
        <v>410.9735</v>
      </c>
      <c r="I9" s="26">
        <f>SUM(I$4)*0.0145</f>
        <v>29</v>
      </c>
      <c r="J9" s="362">
        <v>178.56</v>
      </c>
      <c r="K9" s="26">
        <f>SUM(K$4:K$6)*0.0145</f>
        <v>422.43270500000006</v>
      </c>
      <c r="L9" s="26">
        <f>SUM(L$4:L$6)*0.0145</f>
        <v>446.09184025000008</v>
      </c>
    </row>
    <row r="10" spans="1:12" x14ac:dyDescent="0.2">
      <c r="A10" s="489" t="s">
        <v>637</v>
      </c>
      <c r="B10" s="490" t="s">
        <v>232</v>
      </c>
      <c r="C10" s="26">
        <f>SUM(C4:C5)*0.062</f>
        <v>1745.9088400000001</v>
      </c>
      <c r="D10" s="493">
        <v>1291.82</v>
      </c>
      <c r="E10" s="26">
        <v>1633.27</v>
      </c>
      <c r="F10" s="493">
        <v>684.98</v>
      </c>
      <c r="G10" s="26" cm="1">
        <f t="array" ref="G10">SUM(G$4:G$6*0.062)</f>
        <v>1726.2660000000001</v>
      </c>
      <c r="H10" s="26" cm="1">
        <f t="array" ref="H10">SUM(H$4:H$6*0.062)</f>
        <v>1757.2660000000001</v>
      </c>
      <c r="I10" s="26">
        <f>SUM(I$4*0.062)</f>
        <v>124</v>
      </c>
      <c r="J10" s="361">
        <v>763.55</v>
      </c>
      <c r="K10" s="26" cm="1">
        <f t="array" ref="K10">SUM(K$4:K$6*0.062)</f>
        <v>1806.2639799999999</v>
      </c>
      <c r="L10" s="26" cm="1">
        <f t="array" ref="L10">SUM(L$4:L$6*0.062)</f>
        <v>1907.4271790000003</v>
      </c>
    </row>
    <row r="11" spans="1:12" x14ac:dyDescent="0.2">
      <c r="A11" s="489" t="s">
        <v>638</v>
      </c>
      <c r="B11" s="490" t="s">
        <v>234</v>
      </c>
      <c r="C11" s="26">
        <v>9298.48</v>
      </c>
      <c r="D11" s="493">
        <v>5036.59</v>
      </c>
      <c r="E11" s="26">
        <v>10630</v>
      </c>
      <c r="F11" s="493">
        <v>5750.16</v>
      </c>
      <c r="G11" s="26">
        <v>11305.68</v>
      </c>
      <c r="H11" s="26">
        <v>11305.68</v>
      </c>
      <c r="I11" s="26"/>
      <c r="J11" s="362">
        <v>6123.91</v>
      </c>
      <c r="K11" s="361">
        <v>12108</v>
      </c>
      <c r="L11" s="3">
        <v>12762.24</v>
      </c>
    </row>
    <row r="12" spans="1:12" x14ac:dyDescent="0.2">
      <c r="A12" s="489" t="s">
        <v>639</v>
      </c>
      <c r="B12" s="490" t="s">
        <v>236</v>
      </c>
      <c r="C12" s="26"/>
      <c r="D12" s="493">
        <v>0</v>
      </c>
      <c r="E12" s="26">
        <v>0</v>
      </c>
      <c r="F12" s="493">
        <v>0</v>
      </c>
      <c r="G12" s="26">
        <v>0</v>
      </c>
      <c r="H12" s="26">
        <v>0</v>
      </c>
      <c r="I12" s="26"/>
      <c r="J12" s="362">
        <v>0</v>
      </c>
      <c r="K12" s="361"/>
      <c r="L12" s="3"/>
    </row>
    <row r="13" spans="1:12" x14ac:dyDescent="0.2">
      <c r="A13" s="489" t="s">
        <v>1588</v>
      </c>
      <c r="B13" s="490" t="s">
        <v>1571</v>
      </c>
      <c r="C13" s="26"/>
      <c r="D13" s="493"/>
      <c r="E13" s="26"/>
      <c r="F13" s="493"/>
      <c r="G13" s="26"/>
      <c r="H13" s="26">
        <v>0</v>
      </c>
      <c r="I13" s="26"/>
      <c r="J13" s="362">
        <v>796.83</v>
      </c>
      <c r="K13" s="361"/>
      <c r="L13" s="3"/>
    </row>
    <row r="14" spans="1:12" x14ac:dyDescent="0.2">
      <c r="A14" s="489" t="s">
        <v>640</v>
      </c>
      <c r="B14" s="490" t="s">
        <v>641</v>
      </c>
      <c r="C14" s="26">
        <v>4000</v>
      </c>
      <c r="D14" s="493">
        <v>1837.92</v>
      </c>
      <c r="E14" s="26">
        <v>4000</v>
      </c>
      <c r="F14" s="493">
        <v>407.12</v>
      </c>
      <c r="G14" s="26">
        <v>4000</v>
      </c>
      <c r="H14" s="26">
        <v>4000</v>
      </c>
      <c r="I14" s="26"/>
      <c r="J14" s="362">
        <v>805.73</v>
      </c>
      <c r="K14" s="26">
        <v>4000</v>
      </c>
      <c r="L14" s="3">
        <v>6000</v>
      </c>
    </row>
    <row r="15" spans="1:12" x14ac:dyDescent="0.2">
      <c r="A15" s="489" t="s">
        <v>642</v>
      </c>
      <c r="B15" s="490" t="s">
        <v>643</v>
      </c>
      <c r="C15" s="26">
        <v>500</v>
      </c>
      <c r="D15" s="493">
        <v>0</v>
      </c>
      <c r="E15" s="26">
        <v>500</v>
      </c>
      <c r="F15" s="493">
        <v>0</v>
      </c>
      <c r="G15" s="26">
        <v>500</v>
      </c>
      <c r="H15" s="26">
        <v>500</v>
      </c>
      <c r="I15" s="26"/>
      <c r="J15" s="362">
        <v>0</v>
      </c>
      <c r="K15" s="26">
        <v>500</v>
      </c>
      <c r="L15" s="3">
        <v>1000</v>
      </c>
    </row>
    <row r="16" spans="1:12" x14ac:dyDescent="0.2">
      <c r="A16" s="489" t="s">
        <v>644</v>
      </c>
      <c r="B16" s="490" t="s">
        <v>645</v>
      </c>
      <c r="C16" s="26"/>
      <c r="D16" s="493">
        <v>0</v>
      </c>
      <c r="E16" s="26">
        <v>0</v>
      </c>
      <c r="F16" s="493">
        <v>0</v>
      </c>
      <c r="G16" s="26">
        <v>0</v>
      </c>
      <c r="H16" s="26">
        <v>0</v>
      </c>
      <c r="I16" s="26"/>
      <c r="J16" s="362">
        <v>0</v>
      </c>
      <c r="K16" s="26">
        <v>0</v>
      </c>
      <c r="L16" s="3"/>
    </row>
    <row r="17" spans="1:12" x14ac:dyDescent="0.2">
      <c r="A17" s="489" t="s">
        <v>646</v>
      </c>
      <c r="B17" s="490" t="s">
        <v>647</v>
      </c>
      <c r="C17" s="26">
        <v>5500</v>
      </c>
      <c r="D17" s="493">
        <v>2198.2199999999998</v>
      </c>
      <c r="E17" s="26">
        <v>4000</v>
      </c>
      <c r="F17" s="493">
        <v>2994.04</v>
      </c>
      <c r="G17" s="26">
        <v>4000</v>
      </c>
      <c r="H17" s="26">
        <v>4000</v>
      </c>
      <c r="I17" s="26"/>
      <c r="J17" s="362">
        <v>1619.78</v>
      </c>
      <c r="K17" s="26">
        <v>4000</v>
      </c>
      <c r="L17" s="3">
        <v>6000</v>
      </c>
    </row>
    <row r="18" spans="1:12" x14ac:dyDescent="0.2">
      <c r="A18" s="489" t="s">
        <v>648</v>
      </c>
      <c r="B18" s="490" t="s">
        <v>649</v>
      </c>
      <c r="C18" s="26">
        <v>8000</v>
      </c>
      <c r="D18" s="493">
        <v>1885</v>
      </c>
      <c r="E18" s="26">
        <v>12000</v>
      </c>
      <c r="F18" s="493">
        <v>2820.76</v>
      </c>
      <c r="G18" s="26">
        <v>12000</v>
      </c>
      <c r="H18" s="26">
        <v>12000</v>
      </c>
      <c r="I18" s="26"/>
      <c r="J18" s="362">
        <v>7245</v>
      </c>
      <c r="K18" s="26">
        <v>15000</v>
      </c>
      <c r="L18" s="3">
        <v>18000</v>
      </c>
    </row>
    <row r="19" spans="1:12" x14ac:dyDescent="0.2">
      <c r="A19" s="489" t="s">
        <v>650</v>
      </c>
      <c r="B19" s="490" t="s">
        <v>651</v>
      </c>
      <c r="C19" s="26">
        <v>70000</v>
      </c>
      <c r="D19" s="493">
        <v>24908.2</v>
      </c>
      <c r="E19" s="26">
        <v>85000</v>
      </c>
      <c r="F19" s="493">
        <v>29039.040000000001</v>
      </c>
      <c r="G19" s="26">
        <v>85000</v>
      </c>
      <c r="H19" s="26">
        <v>85000</v>
      </c>
      <c r="I19" s="26"/>
      <c r="J19" s="362">
        <v>27427.81</v>
      </c>
      <c r="K19" s="26">
        <v>85000</v>
      </c>
      <c r="L19" s="3">
        <v>85000</v>
      </c>
    </row>
    <row r="20" spans="1:12" x14ac:dyDescent="0.2">
      <c r="A20" s="489" t="s">
        <v>652</v>
      </c>
      <c r="B20" s="490" t="s">
        <v>653</v>
      </c>
      <c r="C20" s="26">
        <v>5000</v>
      </c>
      <c r="D20" s="493">
        <v>673.95</v>
      </c>
      <c r="E20" s="26">
        <v>0</v>
      </c>
      <c r="F20" s="493">
        <v>0</v>
      </c>
      <c r="G20" s="26">
        <v>0</v>
      </c>
      <c r="H20" s="26">
        <v>0</v>
      </c>
      <c r="I20" s="26"/>
      <c r="J20" s="362">
        <v>0</v>
      </c>
      <c r="K20" s="26">
        <v>0</v>
      </c>
      <c r="L20" s="581">
        <v>35000</v>
      </c>
    </row>
    <row r="21" spans="1:12" x14ac:dyDescent="0.2">
      <c r="A21" s="489" t="s">
        <v>654</v>
      </c>
      <c r="B21" s="490" t="s">
        <v>655</v>
      </c>
      <c r="C21" s="26">
        <v>7500</v>
      </c>
      <c r="D21" s="493">
        <v>445.66</v>
      </c>
      <c r="E21" s="26">
        <v>16700</v>
      </c>
      <c r="F21" s="493">
        <v>11875</v>
      </c>
      <c r="G21" s="26">
        <v>7500</v>
      </c>
      <c r="H21" s="26">
        <v>7500</v>
      </c>
      <c r="I21" s="26"/>
      <c r="J21" s="362">
        <v>0</v>
      </c>
      <c r="K21" s="26">
        <v>7500</v>
      </c>
      <c r="L21" s="26">
        <v>7500</v>
      </c>
    </row>
    <row r="22" spans="1:12" x14ac:dyDescent="0.2">
      <c r="A22" s="489" t="s">
        <v>656</v>
      </c>
      <c r="B22" s="490" t="s">
        <v>657</v>
      </c>
      <c r="C22" s="26">
        <v>35000</v>
      </c>
      <c r="D22" s="493">
        <v>9617.31</v>
      </c>
      <c r="E22" s="26">
        <v>5000</v>
      </c>
      <c r="F22" s="493">
        <v>0</v>
      </c>
      <c r="G22" s="26">
        <v>5000</v>
      </c>
      <c r="H22" s="26">
        <v>5000</v>
      </c>
      <c r="I22" s="26"/>
      <c r="J22" s="362">
        <v>0</v>
      </c>
      <c r="K22" s="26">
        <v>5000</v>
      </c>
      <c r="L22" s="583">
        <v>45000</v>
      </c>
    </row>
    <row r="23" spans="1:12" x14ac:dyDescent="0.2">
      <c r="A23" s="489" t="s">
        <v>658</v>
      </c>
      <c r="B23" s="490" t="s">
        <v>659</v>
      </c>
      <c r="C23" s="26">
        <v>5000</v>
      </c>
      <c r="D23" s="493">
        <v>2763.77</v>
      </c>
      <c r="E23" s="26">
        <v>15000</v>
      </c>
      <c r="F23" s="493">
        <v>180.25</v>
      </c>
      <c r="G23" s="26">
        <v>15000</v>
      </c>
      <c r="H23" s="26">
        <v>15000</v>
      </c>
      <c r="I23" s="26"/>
      <c r="J23" s="362">
        <v>203.44</v>
      </c>
      <c r="K23" s="26">
        <v>15000</v>
      </c>
      <c r="L23" s="26">
        <v>15000</v>
      </c>
    </row>
    <row r="24" spans="1:12" x14ac:dyDescent="0.2">
      <c r="A24" s="489" t="s">
        <v>660</v>
      </c>
      <c r="B24" s="490" t="s">
        <v>661</v>
      </c>
      <c r="C24" s="292">
        <v>7500</v>
      </c>
      <c r="D24" s="493">
        <v>1323.31</v>
      </c>
      <c r="E24" s="26">
        <v>10000</v>
      </c>
      <c r="F24" s="493">
        <v>1727.72</v>
      </c>
      <c r="G24" s="26">
        <v>10000</v>
      </c>
      <c r="H24" s="26">
        <v>10000</v>
      </c>
      <c r="I24" s="26"/>
      <c r="J24" s="362">
        <v>27604.97</v>
      </c>
      <c r="K24" s="26">
        <v>10000</v>
      </c>
      <c r="L24" s="26">
        <v>10000</v>
      </c>
    </row>
    <row r="25" spans="1:12" x14ac:dyDescent="0.2">
      <c r="A25" s="489" t="s">
        <v>662</v>
      </c>
      <c r="B25" s="490" t="s">
        <v>663</v>
      </c>
      <c r="C25" s="292">
        <v>5000</v>
      </c>
      <c r="D25" s="493">
        <v>1313</v>
      </c>
      <c r="E25" s="26">
        <v>3500</v>
      </c>
      <c r="F25" s="493">
        <v>990</v>
      </c>
      <c r="G25" s="26">
        <v>3500</v>
      </c>
      <c r="H25" s="26">
        <v>3500</v>
      </c>
      <c r="I25" s="26"/>
      <c r="J25" s="362">
        <v>2196.35</v>
      </c>
      <c r="K25" s="26">
        <v>5000</v>
      </c>
      <c r="L25" s="26">
        <v>5000</v>
      </c>
    </row>
    <row r="26" spans="1:12" x14ac:dyDescent="0.2">
      <c r="A26" s="489" t="s">
        <v>664</v>
      </c>
      <c r="B26" s="490" t="s">
        <v>258</v>
      </c>
      <c r="C26" s="292">
        <v>2000</v>
      </c>
      <c r="D26" s="493">
        <v>1412.85</v>
      </c>
      <c r="E26" s="26">
        <v>2000</v>
      </c>
      <c r="F26" s="493">
        <v>1126.8499999999999</v>
      </c>
      <c r="G26" s="26">
        <v>2000</v>
      </c>
      <c r="H26" s="26">
        <v>2000</v>
      </c>
      <c r="I26" s="26"/>
      <c r="J26" s="362">
        <v>1138.33</v>
      </c>
      <c r="K26" s="26">
        <v>2000</v>
      </c>
      <c r="L26" s="26">
        <v>2000</v>
      </c>
    </row>
    <row r="27" spans="1:12" x14ac:dyDescent="0.2">
      <c r="A27" s="489" t="s">
        <v>665</v>
      </c>
      <c r="B27" s="490" t="s">
        <v>666</v>
      </c>
      <c r="C27" s="292">
        <v>500</v>
      </c>
      <c r="D27" s="493">
        <v>0</v>
      </c>
      <c r="E27" s="26">
        <v>750</v>
      </c>
      <c r="F27" s="493">
        <v>0</v>
      </c>
      <c r="G27" s="26">
        <v>750</v>
      </c>
      <c r="H27" s="26">
        <v>750</v>
      </c>
      <c r="I27" s="26"/>
      <c r="J27" s="362">
        <v>0</v>
      </c>
      <c r="K27" s="26">
        <v>750</v>
      </c>
      <c r="L27" s="26">
        <v>750</v>
      </c>
    </row>
    <row r="28" spans="1:12" x14ac:dyDescent="0.2">
      <c r="A28" s="489" t="s">
        <v>667</v>
      </c>
      <c r="B28" s="490" t="s">
        <v>1403</v>
      </c>
      <c r="C28" s="26"/>
      <c r="D28" s="493">
        <v>0</v>
      </c>
      <c r="E28" s="26">
        <v>0</v>
      </c>
      <c r="F28" s="493">
        <v>0</v>
      </c>
      <c r="G28" s="26">
        <v>0</v>
      </c>
      <c r="H28" s="26">
        <v>0</v>
      </c>
      <c r="I28" s="26"/>
      <c r="J28" s="362">
        <v>0</v>
      </c>
      <c r="K28" s="26">
        <v>0</v>
      </c>
      <c r="L28" s="26">
        <v>0</v>
      </c>
    </row>
    <row r="29" spans="1:12" x14ac:dyDescent="0.2">
      <c r="A29" s="489" t="s">
        <v>668</v>
      </c>
      <c r="B29" s="490" t="s">
        <v>669</v>
      </c>
      <c r="C29" s="26"/>
      <c r="D29" s="493"/>
      <c r="E29" s="26">
        <v>3000</v>
      </c>
      <c r="F29" s="493">
        <v>0</v>
      </c>
      <c r="G29" s="26">
        <v>3000</v>
      </c>
      <c r="H29" s="26">
        <v>3000</v>
      </c>
      <c r="I29" s="26"/>
      <c r="J29" s="362">
        <v>0</v>
      </c>
      <c r="K29" s="26"/>
      <c r="L29" s="26"/>
    </row>
    <row r="30" spans="1:12" x14ac:dyDescent="0.2">
      <c r="A30" s="489" t="s">
        <v>670</v>
      </c>
      <c r="B30" s="490" t="s">
        <v>671</v>
      </c>
      <c r="C30" s="26">
        <v>6000</v>
      </c>
      <c r="D30" s="493">
        <v>3161.12</v>
      </c>
      <c r="E30" s="26">
        <v>15000</v>
      </c>
      <c r="F30" s="493">
        <v>14478.11</v>
      </c>
      <c r="G30" s="26">
        <v>7500</v>
      </c>
      <c r="H30" s="26">
        <v>7500</v>
      </c>
      <c r="I30" s="26"/>
      <c r="J30" s="362">
        <v>12411.76</v>
      </c>
      <c r="K30" s="26">
        <v>7500</v>
      </c>
      <c r="L30" s="26">
        <v>7500</v>
      </c>
    </row>
    <row r="31" spans="1:12" x14ac:dyDescent="0.2">
      <c r="A31" s="489" t="s">
        <v>672</v>
      </c>
      <c r="B31" s="490" t="s">
        <v>673</v>
      </c>
      <c r="C31" s="26">
        <v>3000</v>
      </c>
      <c r="D31" s="493">
        <v>141.97</v>
      </c>
      <c r="E31" s="26">
        <v>1500</v>
      </c>
      <c r="F31" s="493">
        <v>111.12</v>
      </c>
      <c r="G31" s="26">
        <v>1500</v>
      </c>
      <c r="H31" s="26">
        <v>1500</v>
      </c>
      <c r="I31" s="26"/>
      <c r="J31" s="362">
        <v>37.46</v>
      </c>
      <c r="K31" s="26">
        <v>2000</v>
      </c>
      <c r="L31" s="26">
        <v>2000</v>
      </c>
    </row>
    <row r="32" spans="1:12" x14ac:dyDescent="0.2">
      <c r="A32" s="489" t="s">
        <v>674</v>
      </c>
      <c r="B32" s="490" t="s">
        <v>675</v>
      </c>
      <c r="C32" s="26">
        <v>9000</v>
      </c>
      <c r="D32" s="493">
        <v>6871.44</v>
      </c>
      <c r="E32" s="26">
        <v>2500</v>
      </c>
      <c r="F32" s="493">
        <v>2604.5</v>
      </c>
      <c r="G32" s="26">
        <v>2500</v>
      </c>
      <c r="H32" s="26">
        <v>3500</v>
      </c>
      <c r="I32" s="26"/>
      <c r="J32" s="362">
        <v>3130</v>
      </c>
      <c r="K32" s="26">
        <v>4500</v>
      </c>
      <c r="L32" s="26">
        <v>6000</v>
      </c>
    </row>
    <row r="33" spans="1:12" x14ac:dyDescent="0.2">
      <c r="A33" s="489" t="s">
        <v>676</v>
      </c>
      <c r="B33" s="490" t="s">
        <v>481</v>
      </c>
      <c r="C33" s="26">
        <v>4000</v>
      </c>
      <c r="D33" s="493">
        <v>3949.48</v>
      </c>
      <c r="E33" s="26">
        <v>7000</v>
      </c>
      <c r="F33" s="493">
        <v>2128.5</v>
      </c>
      <c r="G33" s="26">
        <v>7000</v>
      </c>
      <c r="H33" s="26">
        <v>7000</v>
      </c>
      <c r="I33" s="26"/>
      <c r="J33" s="362">
        <v>1930.75</v>
      </c>
      <c r="K33" s="26">
        <v>7000</v>
      </c>
      <c r="L33" s="26">
        <v>7000</v>
      </c>
    </row>
    <row r="34" spans="1:12" x14ac:dyDescent="0.2">
      <c r="A34" s="489"/>
      <c r="B34" s="490" t="s">
        <v>1419</v>
      </c>
      <c r="C34" s="26"/>
      <c r="D34" s="493"/>
      <c r="E34" s="26">
        <v>28323.25</v>
      </c>
      <c r="F34" s="493"/>
      <c r="G34" s="26">
        <v>28323.25</v>
      </c>
      <c r="H34" s="26"/>
      <c r="I34" s="26"/>
      <c r="J34" s="362">
        <v>0</v>
      </c>
      <c r="K34" s="26"/>
      <c r="L34" s="26"/>
    </row>
    <row r="35" spans="1:12" x14ac:dyDescent="0.2">
      <c r="A35" s="489"/>
      <c r="B35" s="490" t="s">
        <v>1418</v>
      </c>
      <c r="C35" s="26"/>
      <c r="D35" s="493"/>
      <c r="E35" s="26">
        <v>4500</v>
      </c>
      <c r="F35" s="493"/>
      <c r="G35" s="26">
        <v>4500</v>
      </c>
      <c r="H35" s="26">
        <v>4500</v>
      </c>
      <c r="I35" s="26"/>
      <c r="J35" s="362">
        <v>0</v>
      </c>
      <c r="K35" s="26">
        <v>4500</v>
      </c>
      <c r="L35" s="26">
        <v>4500</v>
      </c>
    </row>
    <row r="36" spans="1:12" x14ac:dyDescent="0.2">
      <c r="A36" s="489"/>
      <c r="B36" s="490" t="s">
        <v>1474</v>
      </c>
      <c r="C36" s="26"/>
      <c r="D36" s="493"/>
      <c r="E36" s="26">
        <v>0</v>
      </c>
      <c r="F36" s="493"/>
      <c r="G36" s="26">
        <v>0</v>
      </c>
      <c r="H36" s="26">
        <v>25000</v>
      </c>
      <c r="I36" s="26"/>
      <c r="J36" s="362"/>
      <c r="K36" s="26">
        <v>25000</v>
      </c>
      <c r="L36" s="26">
        <v>25000</v>
      </c>
    </row>
    <row r="37" spans="1:12" x14ac:dyDescent="0.2">
      <c r="A37" s="489" t="s">
        <v>1522</v>
      </c>
      <c r="B37" s="26" t="s">
        <v>1566</v>
      </c>
      <c r="C37" s="26"/>
      <c r="D37" s="493"/>
      <c r="E37" s="26">
        <v>25000</v>
      </c>
      <c r="F37" s="493"/>
      <c r="G37" s="26">
        <v>25000</v>
      </c>
      <c r="H37" s="375">
        <v>33000</v>
      </c>
      <c r="I37" s="495"/>
      <c r="J37" s="362"/>
      <c r="K37" s="375">
        <v>10000</v>
      </c>
      <c r="L37" s="375">
        <v>10000</v>
      </c>
    </row>
    <row r="38" spans="1:12" x14ac:dyDescent="0.2">
      <c r="A38" s="489" t="s">
        <v>1523</v>
      </c>
      <c r="B38" s="490" t="s">
        <v>1524</v>
      </c>
      <c r="C38" s="26"/>
      <c r="D38" s="493"/>
      <c r="E38" s="26">
        <v>10000</v>
      </c>
      <c r="F38" s="493">
        <v>1291.46</v>
      </c>
      <c r="G38" s="26">
        <v>2500</v>
      </c>
      <c r="H38" s="26">
        <v>0</v>
      </c>
      <c r="I38" s="26"/>
      <c r="J38" s="362"/>
      <c r="K38" s="26">
        <v>0</v>
      </c>
      <c r="L38" s="26">
        <v>0</v>
      </c>
    </row>
    <row r="39" spans="1:12" x14ac:dyDescent="0.2">
      <c r="A39" s="489" t="s">
        <v>1525</v>
      </c>
      <c r="B39" s="490" t="s">
        <v>1526</v>
      </c>
      <c r="C39" s="26"/>
      <c r="D39" s="493"/>
      <c r="E39" s="26">
        <v>15000</v>
      </c>
      <c r="F39" s="493">
        <v>14650</v>
      </c>
      <c r="G39" s="26">
        <v>2500</v>
      </c>
      <c r="H39" s="26">
        <v>2500</v>
      </c>
      <c r="I39" s="26"/>
      <c r="J39" s="362">
        <v>2500</v>
      </c>
      <c r="K39" s="26">
        <v>5000</v>
      </c>
      <c r="L39" s="26">
        <v>10000</v>
      </c>
    </row>
    <row r="40" spans="1:12" x14ac:dyDescent="0.2">
      <c r="A40" s="489"/>
      <c r="B40" s="490"/>
      <c r="C40" s="26"/>
      <c r="D40" s="493"/>
      <c r="E40" s="26"/>
      <c r="F40" s="493"/>
      <c r="G40" s="26"/>
      <c r="H40" s="26"/>
      <c r="I40" s="26"/>
      <c r="J40" s="362"/>
      <c r="K40" s="26"/>
      <c r="L40" s="26"/>
    </row>
    <row r="41" spans="1:12" x14ac:dyDescent="0.2">
      <c r="A41" s="489"/>
      <c r="B41" s="490"/>
      <c r="C41" s="26"/>
      <c r="D41" s="493"/>
      <c r="E41" s="26"/>
      <c r="F41" s="493"/>
      <c r="G41" s="26"/>
      <c r="H41" s="26"/>
      <c r="I41" s="26"/>
      <c r="J41" s="362"/>
      <c r="K41" s="26"/>
      <c r="L41" s="3"/>
    </row>
    <row r="42" spans="1:12" ht="15" x14ac:dyDescent="0.25">
      <c r="A42" s="484"/>
      <c r="B42" s="496" t="s">
        <v>169</v>
      </c>
      <c r="C42" s="146">
        <f>SUM(C4:C33)</f>
        <v>221495.14301</v>
      </c>
      <c r="D42" s="198">
        <f>SUM(D4:D33)</f>
        <v>92633.59</v>
      </c>
      <c r="E42" s="146">
        <f t="shared" ref="E42:K42" si="0">SUM(E4:E39)</f>
        <v>314159.74</v>
      </c>
      <c r="F42" s="198">
        <f t="shared" si="0"/>
        <v>105402.12000000001</v>
      </c>
      <c r="G42" s="146">
        <f t="shared" ca="1" si="0"/>
        <v>315659.74</v>
      </c>
      <c r="H42" s="146">
        <f t="shared" si="0"/>
        <v>282872.87650000001</v>
      </c>
      <c r="I42" s="146">
        <f t="shared" si="0"/>
        <v>2351</v>
      </c>
      <c r="J42" s="146">
        <f t="shared" si="0"/>
        <v>109058.15000000001</v>
      </c>
      <c r="K42" s="146">
        <f t="shared" si="0"/>
        <v>266687.64923500002</v>
      </c>
      <c r="L42" s="4">
        <f>SUM(L4:L39)</f>
        <v>357945.73465175001</v>
      </c>
    </row>
    <row r="43" spans="1:12" x14ac:dyDescent="0.2">
      <c r="A43" s="489"/>
      <c r="B43" s="490"/>
      <c r="C43" s="26"/>
      <c r="D43" s="493"/>
      <c r="E43" s="493"/>
      <c r="F43" s="493"/>
      <c r="G43" s="494"/>
      <c r="H43" s="305"/>
      <c r="I43" s="26"/>
      <c r="J43" s="361"/>
      <c r="K43" s="305"/>
      <c r="L43" s="2"/>
    </row>
    <row r="44" spans="1:12" x14ac:dyDescent="0.2">
      <c r="A44" s="489"/>
      <c r="B44" s="490"/>
      <c r="C44" s="26"/>
      <c r="D44" s="493"/>
      <c r="E44" s="493"/>
      <c r="F44" s="493"/>
      <c r="G44" s="494"/>
      <c r="H44" s="305"/>
      <c r="I44" s="26"/>
      <c r="J44" s="497"/>
      <c r="K44" s="305"/>
      <c r="L44" s="2"/>
    </row>
    <row r="45" spans="1:12" x14ac:dyDescent="0.2">
      <c r="A45" s="489"/>
      <c r="B45" s="490"/>
      <c r="C45" s="26"/>
      <c r="D45" s="493"/>
      <c r="E45" s="493"/>
      <c r="F45" s="493"/>
      <c r="G45" s="494"/>
      <c r="H45" s="305"/>
      <c r="I45" s="26"/>
      <c r="J45" s="498"/>
      <c r="K45" s="305"/>
      <c r="L45" s="2"/>
    </row>
    <row r="46" spans="1:12" x14ac:dyDescent="0.2">
      <c r="A46" s="499"/>
      <c r="B46" s="500"/>
    </row>
    <row r="47" spans="1:12" x14ac:dyDescent="0.2">
      <c r="A47" s="499"/>
      <c r="B47" s="500"/>
    </row>
    <row r="48" spans="1:12" x14ac:dyDescent="0.2">
      <c r="A48" s="499"/>
      <c r="B48" s="500"/>
    </row>
    <row r="49" spans="1:2" x14ac:dyDescent="0.2">
      <c r="A49" s="499"/>
      <c r="B49" s="500"/>
    </row>
    <row r="50" spans="1:2" x14ac:dyDescent="0.2">
      <c r="A50" s="499"/>
      <c r="B50" s="500"/>
    </row>
    <row r="51" spans="1:2" x14ac:dyDescent="0.2">
      <c r="A51" s="499"/>
      <c r="B51" s="500"/>
    </row>
    <row r="52" spans="1:2" x14ac:dyDescent="0.2">
      <c r="A52" s="499"/>
      <c r="B52" s="500"/>
    </row>
    <row r="53" spans="1:2" x14ac:dyDescent="0.2">
      <c r="A53" s="499"/>
      <c r="B53" s="500"/>
    </row>
    <row r="54" spans="1:2" x14ac:dyDescent="0.2">
      <c r="A54" s="499"/>
      <c r="B54" s="500"/>
    </row>
    <row r="55" spans="1:2" x14ac:dyDescent="0.2">
      <c r="A55" s="499"/>
      <c r="B55" s="500"/>
    </row>
    <row r="56" spans="1:2" x14ac:dyDescent="0.2">
      <c r="A56" s="499"/>
      <c r="B56" s="500"/>
    </row>
    <row r="57" spans="1:2" x14ac:dyDescent="0.2">
      <c r="A57" s="499"/>
      <c r="B57" s="500"/>
    </row>
  </sheetData>
  <phoneticPr fontId="24" type="noConversion"/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7"/>
  <sheetViews>
    <sheetView topLeftCell="A16" zoomScaleNormal="100" workbookViewId="0">
      <selection activeCell="L16" sqref="L1:L1048576"/>
    </sheetView>
  </sheetViews>
  <sheetFormatPr defaultRowHeight="14.25" x14ac:dyDescent="0.2"/>
  <cols>
    <col min="1" max="1" width="11.875" customWidth="1"/>
    <col min="2" max="2" width="22.375" customWidth="1"/>
    <col min="3" max="3" width="11.75" hidden="1" customWidth="1"/>
    <col min="4" max="4" width="11" hidden="1" customWidth="1"/>
    <col min="5" max="5" width="11.75" hidden="1" customWidth="1"/>
    <col min="6" max="6" width="12.75" hidden="1" customWidth="1"/>
    <col min="7" max="7" width="10.5" style="46" hidden="1" customWidth="1"/>
    <col min="8" max="9" width="12.75" hidden="1" customWidth="1"/>
    <col min="10" max="10" width="10.75" hidden="1" customWidth="1"/>
    <col min="11" max="12" width="14.625" hidden="1" customWidth="1"/>
    <col min="13" max="13" width="11.125" customWidth="1"/>
  </cols>
  <sheetData>
    <row r="1" spans="1:13" x14ac:dyDescent="0.2">
      <c r="A1" s="70"/>
      <c r="B1" s="70"/>
      <c r="J1" s="2"/>
      <c r="K1" s="2"/>
    </row>
    <row r="2" spans="1:13" ht="60" x14ac:dyDescent="0.25">
      <c r="A2" s="71"/>
      <c r="B2" s="72" t="s">
        <v>677</v>
      </c>
      <c r="C2" s="20" t="s">
        <v>678</v>
      </c>
      <c r="D2" s="143" t="s">
        <v>679</v>
      </c>
      <c r="E2" s="143" t="s">
        <v>1351</v>
      </c>
      <c r="F2" s="143" t="s">
        <v>1353</v>
      </c>
      <c r="G2" s="47" t="s">
        <v>1508</v>
      </c>
      <c r="H2" s="143" t="s">
        <v>1494</v>
      </c>
      <c r="I2" s="154" t="s">
        <v>1505</v>
      </c>
      <c r="J2" s="47" t="s">
        <v>1587</v>
      </c>
      <c r="K2" s="268" t="s">
        <v>1568</v>
      </c>
      <c r="L2" s="268" t="s">
        <v>1634</v>
      </c>
      <c r="M2" s="268" t="s">
        <v>1686</v>
      </c>
    </row>
    <row r="3" spans="1:13" x14ac:dyDescent="0.2">
      <c r="A3" s="73"/>
      <c r="B3" s="73"/>
      <c r="C3" s="2"/>
      <c r="D3" s="2"/>
      <c r="E3" s="2"/>
      <c r="F3" s="2"/>
      <c r="G3" s="3"/>
      <c r="I3" s="231"/>
      <c r="J3" s="2"/>
      <c r="K3" s="273"/>
      <c r="L3" s="273"/>
      <c r="M3" s="2"/>
    </row>
    <row r="4" spans="1:13" hidden="1" x14ac:dyDescent="0.2">
      <c r="A4" s="74" t="s">
        <v>680</v>
      </c>
      <c r="B4" s="75" t="s">
        <v>681</v>
      </c>
      <c r="C4" s="2"/>
      <c r="D4" s="2"/>
      <c r="E4" s="151"/>
      <c r="F4" s="151"/>
      <c r="G4" s="3"/>
      <c r="H4" s="151"/>
      <c r="I4" s="163"/>
      <c r="J4" s="2"/>
      <c r="K4" s="273"/>
      <c r="L4" s="273"/>
      <c r="M4" s="2"/>
    </row>
    <row r="5" spans="1:13" hidden="1" x14ac:dyDescent="0.2">
      <c r="A5" s="74" t="s">
        <v>682</v>
      </c>
      <c r="B5" s="75" t="s">
        <v>220</v>
      </c>
      <c r="C5" s="2"/>
      <c r="D5" s="2"/>
      <c r="E5" s="151"/>
      <c r="F5" s="151"/>
      <c r="G5" s="3"/>
      <c r="H5" s="151"/>
      <c r="I5" s="163"/>
      <c r="J5" s="2"/>
      <c r="K5" s="274"/>
      <c r="L5" s="273"/>
      <c r="M5" s="2"/>
    </row>
    <row r="6" spans="1:13" hidden="1" x14ac:dyDescent="0.2">
      <c r="A6" s="74" t="s">
        <v>683</v>
      </c>
      <c r="B6" s="75" t="s">
        <v>226</v>
      </c>
      <c r="C6" s="2"/>
      <c r="D6" s="2"/>
      <c r="E6" s="151"/>
      <c r="F6" s="151"/>
      <c r="G6" s="3"/>
      <c r="H6" s="151"/>
      <c r="I6" s="163"/>
      <c r="J6" s="2"/>
      <c r="K6" s="274"/>
      <c r="L6" s="273"/>
      <c r="M6" s="2"/>
    </row>
    <row r="7" spans="1:13" hidden="1" x14ac:dyDescent="0.2">
      <c r="A7" s="74" t="s">
        <v>684</v>
      </c>
      <c r="B7" s="75" t="s">
        <v>228</v>
      </c>
      <c r="C7" s="2"/>
      <c r="D7" s="2"/>
      <c r="E7" s="151"/>
      <c r="F7" s="151"/>
      <c r="G7" s="3"/>
      <c r="H7" s="151"/>
      <c r="I7" s="163"/>
      <c r="J7" s="2"/>
      <c r="K7" s="275"/>
      <c r="L7" s="273"/>
      <c r="M7" s="2"/>
    </row>
    <row r="8" spans="1:13" hidden="1" x14ac:dyDescent="0.2">
      <c r="A8" s="74" t="s">
        <v>685</v>
      </c>
      <c r="B8" s="75" t="s">
        <v>230</v>
      </c>
      <c r="C8" s="2"/>
      <c r="D8" s="2"/>
      <c r="E8" s="151"/>
      <c r="F8" s="151"/>
      <c r="G8" s="3"/>
      <c r="H8" s="151"/>
      <c r="I8" s="163"/>
      <c r="J8" s="2"/>
      <c r="K8" s="275"/>
      <c r="L8" s="273"/>
      <c r="M8" s="2"/>
    </row>
    <row r="9" spans="1:13" hidden="1" x14ac:dyDescent="0.2">
      <c r="A9" s="74" t="s">
        <v>686</v>
      </c>
      <c r="B9" s="75" t="s">
        <v>232</v>
      </c>
      <c r="C9" s="2"/>
      <c r="D9" s="2"/>
      <c r="E9" s="151"/>
      <c r="F9" s="151"/>
      <c r="G9" s="3"/>
      <c r="H9" s="151"/>
      <c r="I9" s="163"/>
      <c r="J9" s="2"/>
      <c r="K9" s="275"/>
      <c r="L9" s="273"/>
      <c r="M9" s="2"/>
    </row>
    <row r="10" spans="1:13" x14ac:dyDescent="0.2">
      <c r="A10" s="74" t="s">
        <v>687</v>
      </c>
      <c r="B10" s="75" t="s">
        <v>285</v>
      </c>
      <c r="C10" s="15">
        <v>250</v>
      </c>
      <c r="D10" s="15">
        <v>250</v>
      </c>
      <c r="E10" s="151"/>
      <c r="F10" s="151"/>
      <c r="G10" s="3"/>
      <c r="H10" s="151"/>
      <c r="I10" s="163"/>
      <c r="J10" s="2"/>
      <c r="K10" s="273"/>
      <c r="L10" s="273"/>
      <c r="M10" s="3"/>
    </row>
    <row r="11" spans="1:13" x14ac:dyDescent="0.2">
      <c r="A11" s="74" t="s">
        <v>688</v>
      </c>
      <c r="B11" s="75" t="s">
        <v>508</v>
      </c>
      <c r="C11" s="2"/>
      <c r="D11" s="2"/>
      <c r="E11" s="151"/>
      <c r="F11" s="151"/>
      <c r="G11" s="3"/>
      <c r="H11" s="151"/>
      <c r="I11" s="163"/>
      <c r="J11" s="2"/>
      <c r="K11" s="275"/>
      <c r="L11" s="273"/>
      <c r="M11" s="3">
        <v>1200</v>
      </c>
    </row>
    <row r="12" spans="1:13" x14ac:dyDescent="0.2">
      <c r="A12" s="74" t="s">
        <v>689</v>
      </c>
      <c r="B12" s="75" t="s">
        <v>513</v>
      </c>
      <c r="C12" s="15">
        <v>40000</v>
      </c>
      <c r="D12" s="15">
        <v>40000</v>
      </c>
      <c r="E12" s="151">
        <v>16165.01</v>
      </c>
      <c r="F12" s="151"/>
      <c r="G12" s="3"/>
      <c r="H12" s="151"/>
      <c r="I12" s="163"/>
      <c r="J12" s="2"/>
      <c r="K12" s="275"/>
      <c r="L12" s="273"/>
      <c r="M12" s="3"/>
    </row>
    <row r="13" spans="1:13" x14ac:dyDescent="0.2">
      <c r="A13" s="74" t="s">
        <v>690</v>
      </c>
      <c r="B13" s="75" t="s">
        <v>254</v>
      </c>
      <c r="C13" s="15">
        <v>3200</v>
      </c>
      <c r="D13" s="15">
        <v>3200</v>
      </c>
      <c r="E13" s="151">
        <v>1406.13</v>
      </c>
      <c r="F13" s="151">
        <v>3200</v>
      </c>
      <c r="G13" s="3">
        <v>3200</v>
      </c>
      <c r="H13" s="151">
        <v>0</v>
      </c>
      <c r="I13" s="163"/>
      <c r="J13" s="3">
        <v>3200</v>
      </c>
      <c r="K13" s="363">
        <v>315</v>
      </c>
      <c r="L13" s="3">
        <v>1200</v>
      </c>
      <c r="M13" s="3">
        <v>200</v>
      </c>
    </row>
    <row r="14" spans="1:13" x14ac:dyDescent="0.2">
      <c r="A14" s="74" t="s">
        <v>691</v>
      </c>
      <c r="B14" s="75" t="s">
        <v>692</v>
      </c>
      <c r="C14" s="15">
        <v>0</v>
      </c>
      <c r="D14" s="15">
        <v>0</v>
      </c>
      <c r="E14" s="151"/>
      <c r="F14" s="151"/>
      <c r="G14" s="3"/>
      <c r="H14" s="222"/>
      <c r="I14" s="163"/>
      <c r="J14" s="2"/>
      <c r="K14" s="275"/>
      <c r="L14" s="2"/>
      <c r="M14" s="3"/>
    </row>
    <row r="15" spans="1:13" x14ac:dyDescent="0.2">
      <c r="A15" s="74" t="s">
        <v>693</v>
      </c>
      <c r="B15" s="75" t="s">
        <v>694</v>
      </c>
      <c r="C15" s="3">
        <v>600</v>
      </c>
      <c r="D15" s="3">
        <v>600</v>
      </c>
      <c r="E15" s="151"/>
      <c r="F15" s="151"/>
      <c r="G15" s="3"/>
      <c r="H15" s="151"/>
      <c r="I15" s="163"/>
      <c r="J15" s="2"/>
      <c r="K15" s="275"/>
      <c r="L15" s="2"/>
      <c r="M15" s="3"/>
    </row>
    <row r="16" spans="1:13" x14ac:dyDescent="0.2">
      <c r="A16" s="74" t="s">
        <v>695</v>
      </c>
      <c r="B16" s="75" t="s">
        <v>696</v>
      </c>
      <c r="C16" s="48"/>
      <c r="D16" s="2"/>
      <c r="E16" s="151"/>
      <c r="F16" s="151"/>
      <c r="G16" s="3"/>
      <c r="H16" s="151"/>
      <c r="I16" s="163"/>
      <c r="J16" s="2"/>
      <c r="K16" s="275"/>
      <c r="L16" s="2"/>
      <c r="M16" s="3"/>
    </row>
    <row r="17" spans="1:13" x14ac:dyDescent="0.2">
      <c r="A17" s="74" t="s">
        <v>697</v>
      </c>
      <c r="B17" s="75" t="s">
        <v>698</v>
      </c>
      <c r="C17" s="48"/>
      <c r="D17" s="2"/>
      <c r="E17" s="151"/>
      <c r="F17" s="151"/>
      <c r="G17" s="3"/>
      <c r="H17" s="151"/>
      <c r="I17" s="163"/>
      <c r="J17" s="2"/>
      <c r="K17" s="275"/>
      <c r="L17" s="2"/>
      <c r="M17" s="3"/>
    </row>
    <row r="18" spans="1:13" ht="15" x14ac:dyDescent="0.25">
      <c r="A18" s="71"/>
      <c r="B18" s="76" t="s">
        <v>169</v>
      </c>
      <c r="C18" s="51">
        <f>SUM(C10:C15)</f>
        <v>44050</v>
      </c>
      <c r="D18" s="7">
        <f>SUM(D10:D17)</f>
        <v>44050</v>
      </c>
      <c r="E18" s="161">
        <f>SUM(E4:E17)</f>
        <v>17571.14</v>
      </c>
      <c r="F18" s="161">
        <f>SUM(F4:F17)</f>
        <v>3200</v>
      </c>
      <c r="G18" s="4">
        <f>SUM(G4:G17)</f>
        <v>3200</v>
      </c>
      <c r="H18" s="161">
        <f>SUM(H4:H17)</f>
        <v>0</v>
      </c>
      <c r="I18" s="164"/>
      <c r="J18" s="4">
        <f>SUM(J4:J17)</f>
        <v>3200</v>
      </c>
      <c r="K18" s="4">
        <f>SUM(K4:K17)</f>
        <v>315</v>
      </c>
      <c r="L18" s="4">
        <f>SUM(L4:L17)</f>
        <v>1200</v>
      </c>
      <c r="M18" s="4">
        <f>SUM(M4:M17)</f>
        <v>1400</v>
      </c>
    </row>
    <row r="19" spans="1:13" x14ac:dyDescent="0.2">
      <c r="A19" s="74"/>
      <c r="B19" s="75"/>
      <c r="C19" s="2"/>
      <c r="D19" s="2"/>
      <c r="E19" s="151"/>
      <c r="F19" s="151"/>
      <c r="G19" s="3"/>
      <c r="H19" s="151"/>
      <c r="I19" s="163"/>
      <c r="J19" s="2"/>
      <c r="K19" s="275"/>
      <c r="L19" s="273"/>
      <c r="M19" s="2"/>
    </row>
    <row r="20" spans="1:13" x14ac:dyDescent="0.2">
      <c r="A20" s="74"/>
      <c r="B20" s="75"/>
      <c r="C20" s="2"/>
      <c r="D20" s="2"/>
      <c r="E20" s="151"/>
      <c r="F20" s="151"/>
      <c r="G20" s="3"/>
      <c r="H20" s="151"/>
      <c r="I20" s="163"/>
      <c r="J20" s="2"/>
      <c r="K20" s="275"/>
      <c r="L20" s="273"/>
      <c r="M20" s="2"/>
    </row>
    <row r="21" spans="1:13" x14ac:dyDescent="0.2">
      <c r="A21" s="70"/>
      <c r="B21" s="77"/>
    </row>
    <row r="22" spans="1:13" x14ac:dyDescent="0.2">
      <c r="A22" s="70"/>
      <c r="B22" s="70"/>
    </row>
    <row r="23" spans="1:13" x14ac:dyDescent="0.2">
      <c r="A23" s="70"/>
      <c r="B23" s="70"/>
    </row>
    <row r="24" spans="1:13" x14ac:dyDescent="0.2">
      <c r="A24" s="70"/>
      <c r="B24" s="70"/>
    </row>
    <row r="25" spans="1:13" x14ac:dyDescent="0.2">
      <c r="A25" s="70"/>
      <c r="B25" s="70"/>
    </row>
    <row r="26" spans="1:13" x14ac:dyDescent="0.2">
      <c r="A26" s="70"/>
      <c r="B26" s="70"/>
    </row>
    <row r="27" spans="1:13" x14ac:dyDescent="0.2">
      <c r="A27" s="70"/>
      <c r="B27" s="70"/>
    </row>
    <row r="28" spans="1:13" x14ac:dyDescent="0.2">
      <c r="A28" s="70"/>
      <c r="B28" s="70"/>
    </row>
    <row r="29" spans="1:13" x14ac:dyDescent="0.2">
      <c r="A29" s="70"/>
      <c r="B29" s="70"/>
    </row>
    <row r="30" spans="1:13" x14ac:dyDescent="0.2">
      <c r="A30" s="70"/>
      <c r="B30" s="70"/>
    </row>
    <row r="31" spans="1:13" x14ac:dyDescent="0.2">
      <c r="A31" s="78"/>
      <c r="B31" s="78"/>
    </row>
    <row r="32" spans="1:13" x14ac:dyDescent="0.2">
      <c r="A32" s="78"/>
      <c r="B32" s="78"/>
    </row>
    <row r="33" spans="1:2" x14ac:dyDescent="0.2">
      <c r="A33" s="78"/>
      <c r="B33" s="78"/>
    </row>
    <row r="34" spans="1:2" x14ac:dyDescent="0.2">
      <c r="A34" s="78"/>
      <c r="B34" s="78"/>
    </row>
    <row r="35" spans="1:2" x14ac:dyDescent="0.2">
      <c r="A35" s="78"/>
      <c r="B35" s="78"/>
    </row>
    <row r="36" spans="1:2" x14ac:dyDescent="0.2">
      <c r="A36" s="78"/>
      <c r="B36" s="78"/>
    </row>
    <row r="37" spans="1:2" x14ac:dyDescent="0.2">
      <c r="A37" s="78"/>
      <c r="B37" s="78"/>
    </row>
  </sheetData>
  <phoneticPr fontId="24" type="noConversion"/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18"/>
  <sheetViews>
    <sheetView topLeftCell="A2" zoomScaleNormal="100" workbookViewId="0">
      <selection activeCell="R11" sqref="R11"/>
    </sheetView>
  </sheetViews>
  <sheetFormatPr defaultRowHeight="14.25" x14ac:dyDescent="0.2"/>
  <cols>
    <col min="1" max="1" width="11.75" style="80" customWidth="1"/>
    <col min="2" max="2" width="26.75" customWidth="1"/>
    <col min="3" max="3" width="10.875" hidden="1" customWidth="1"/>
    <col min="4" max="4" width="12" hidden="1" customWidth="1"/>
    <col min="5" max="5" width="12.75" style="46" hidden="1" customWidth="1"/>
    <col min="6" max="6" width="10.375" hidden="1" customWidth="1"/>
    <col min="7" max="7" width="12.375" hidden="1" customWidth="1"/>
    <col min="8" max="8" width="14.375" hidden="1" customWidth="1"/>
    <col min="9" max="9" width="10.375" hidden="1" customWidth="1"/>
    <col min="10" max="10" width="10.75" hidden="1" customWidth="1"/>
    <col min="11" max="11" width="13.875" hidden="1" customWidth="1"/>
    <col min="12" max="12" width="14.875" hidden="1" customWidth="1"/>
    <col min="13" max="13" width="11.75" customWidth="1"/>
  </cols>
  <sheetData>
    <row r="2" spans="1:13" ht="60" x14ac:dyDescent="0.25">
      <c r="A2" s="79"/>
      <c r="B2" s="302" t="s">
        <v>699</v>
      </c>
      <c r="C2" s="20" t="s">
        <v>678</v>
      </c>
      <c r="D2" s="143" t="s">
        <v>1351</v>
      </c>
      <c r="E2" s="47" t="s">
        <v>1352</v>
      </c>
      <c r="F2" s="165" t="s">
        <v>1508</v>
      </c>
      <c r="G2" s="143" t="s">
        <v>1494</v>
      </c>
      <c r="H2" s="143" t="s">
        <v>1505</v>
      </c>
      <c r="I2" s="162" t="s">
        <v>1587</v>
      </c>
      <c r="J2" s="2"/>
      <c r="K2" s="268" t="s">
        <v>1568</v>
      </c>
      <c r="L2" s="268" t="s">
        <v>1634</v>
      </c>
      <c r="M2" s="268" t="s">
        <v>1686</v>
      </c>
    </row>
    <row r="3" spans="1:13" x14ac:dyDescent="0.2">
      <c r="A3" s="79"/>
      <c r="B3" s="2"/>
      <c r="C3" s="2"/>
      <c r="D3" s="2"/>
      <c r="E3" s="3"/>
      <c r="F3" s="2"/>
      <c r="G3" s="151"/>
      <c r="H3" s="151"/>
      <c r="J3" s="2"/>
      <c r="K3" s="273"/>
      <c r="L3" s="273"/>
      <c r="M3" s="2"/>
    </row>
    <row r="4" spans="1:13" x14ac:dyDescent="0.2">
      <c r="A4" s="79" t="s">
        <v>701</v>
      </c>
      <c r="B4" s="2" t="s">
        <v>702</v>
      </c>
      <c r="C4" s="3">
        <v>2400</v>
      </c>
      <c r="D4" s="151">
        <v>1275.6400000000001</v>
      </c>
      <c r="E4" s="3">
        <v>2546.16</v>
      </c>
      <c r="F4" s="3">
        <v>3250</v>
      </c>
      <c r="G4" s="151">
        <v>1574.96</v>
      </c>
      <c r="H4" s="3"/>
      <c r="I4" s="90">
        <v>3750</v>
      </c>
      <c r="J4" s="3">
        <f>SUM(I$4-F$4)</f>
        <v>500</v>
      </c>
      <c r="K4" s="273">
        <v>1687.5</v>
      </c>
      <c r="L4" s="23">
        <f>SUM(I4)*1.03</f>
        <v>3862.5</v>
      </c>
      <c r="M4" s="23">
        <f>SUM(L4)*1.05</f>
        <v>4055.625</v>
      </c>
    </row>
    <row r="5" spans="1:13" x14ac:dyDescent="0.2">
      <c r="A5" s="79" t="s">
        <v>1480</v>
      </c>
      <c r="B5" s="2" t="s">
        <v>226</v>
      </c>
      <c r="C5" s="3"/>
      <c r="D5" s="151"/>
      <c r="E5" s="3"/>
      <c r="F5" s="3">
        <v>0</v>
      </c>
      <c r="G5" s="151">
        <v>3.73</v>
      </c>
      <c r="H5" s="3"/>
      <c r="I5" s="156"/>
      <c r="J5" s="2"/>
      <c r="K5" s="274">
        <v>5.17</v>
      </c>
      <c r="L5" s="273"/>
      <c r="M5" s="2"/>
    </row>
    <row r="6" spans="1:13" x14ac:dyDescent="0.2">
      <c r="A6" s="79" t="s">
        <v>1363</v>
      </c>
      <c r="B6" s="2" t="s">
        <v>228</v>
      </c>
      <c r="C6" s="3">
        <f>SUM($C$4)*0.129</f>
        <v>309.60000000000002</v>
      </c>
      <c r="D6" s="151">
        <v>0</v>
      </c>
      <c r="E6" s="3">
        <f>SUM(E4*0.12)</f>
        <v>305.53919999999999</v>
      </c>
      <c r="F6" s="3">
        <v>360.75</v>
      </c>
      <c r="G6" s="151">
        <v>0</v>
      </c>
      <c r="H6" s="49"/>
      <c r="I6" s="138">
        <f>SUM(I$4)*0.099</f>
        <v>371.25</v>
      </c>
      <c r="J6" s="49">
        <f>SUM(J$4)*0.099</f>
        <v>49.5</v>
      </c>
      <c r="K6" s="274">
        <v>0</v>
      </c>
      <c r="L6" s="273">
        <f>SUM(L$4)*0.095</f>
        <v>366.9375</v>
      </c>
      <c r="M6" s="273">
        <f>SUM(M$4)*0.085</f>
        <v>344.72812500000003</v>
      </c>
    </row>
    <row r="7" spans="1:13" x14ac:dyDescent="0.2">
      <c r="A7" s="79" t="s">
        <v>703</v>
      </c>
      <c r="B7" s="2" t="s">
        <v>704</v>
      </c>
      <c r="C7" s="3">
        <f>SUM($C$4)*0.0145</f>
        <v>34.800000000000004</v>
      </c>
      <c r="D7" s="151">
        <v>18.53</v>
      </c>
      <c r="E7" s="3">
        <f>SUM(E4*0.0145)</f>
        <v>36.919319999999999</v>
      </c>
      <c r="F7" s="3">
        <v>5.23</v>
      </c>
      <c r="G7" s="151">
        <v>23.42</v>
      </c>
      <c r="H7" s="49"/>
      <c r="I7" s="138">
        <f>SUM(I$4)*0.0145</f>
        <v>54.375</v>
      </c>
      <c r="J7" s="49">
        <f>SUM(J$4)*0.0145</f>
        <v>7.25</v>
      </c>
      <c r="K7" s="275">
        <v>29.12</v>
      </c>
      <c r="L7" s="273">
        <f>SUM(L$4)*0.0145</f>
        <v>56.006250000000001</v>
      </c>
      <c r="M7" s="273">
        <f>SUM(M$4)*0.0145</f>
        <v>58.806562500000005</v>
      </c>
    </row>
    <row r="8" spans="1:13" x14ac:dyDescent="0.2">
      <c r="A8" s="79" t="s">
        <v>705</v>
      </c>
      <c r="B8" s="2" t="s">
        <v>706</v>
      </c>
      <c r="C8" s="3">
        <f>SUM($C$4)*0.062</f>
        <v>148.80000000000001</v>
      </c>
      <c r="D8" s="151">
        <v>79.11</v>
      </c>
      <c r="E8" s="3">
        <f>SUM(E4*0.062)</f>
        <v>157.86192</v>
      </c>
      <c r="F8" s="3">
        <v>201.5</v>
      </c>
      <c r="G8" s="151">
        <v>100.25</v>
      </c>
      <c r="H8" s="49"/>
      <c r="I8" s="138">
        <f>SUM(I$4)*0.062</f>
        <v>232.5</v>
      </c>
      <c r="J8" s="49">
        <f>SUM(J$4)*0.062</f>
        <v>31</v>
      </c>
      <c r="K8" s="275">
        <v>124.57</v>
      </c>
      <c r="L8" s="273">
        <f>SUM(L$4)*0.062</f>
        <v>239.47499999999999</v>
      </c>
      <c r="M8" s="273">
        <f>SUM(M$4)*0.062</f>
        <v>251.44874999999999</v>
      </c>
    </row>
    <row r="9" spans="1:13" x14ac:dyDescent="0.2">
      <c r="A9" s="79" t="s">
        <v>1589</v>
      </c>
      <c r="B9" s="2" t="s">
        <v>1571</v>
      </c>
      <c r="C9" s="3"/>
      <c r="D9" s="151"/>
      <c r="E9" s="3"/>
      <c r="F9" s="3"/>
      <c r="G9" s="151"/>
      <c r="H9" s="49"/>
      <c r="I9" s="138">
        <v>0</v>
      </c>
      <c r="J9" s="49"/>
      <c r="K9" s="275">
        <v>259.60000000000002</v>
      </c>
      <c r="L9" s="273"/>
      <c r="M9" s="2"/>
    </row>
    <row r="10" spans="1:13" x14ac:dyDescent="0.2">
      <c r="A10" s="79" t="s">
        <v>707</v>
      </c>
      <c r="B10" s="2" t="s">
        <v>708</v>
      </c>
      <c r="C10" s="3">
        <v>75</v>
      </c>
      <c r="D10" s="151">
        <v>0</v>
      </c>
      <c r="E10" s="3">
        <v>75</v>
      </c>
      <c r="F10" s="3">
        <v>201.5</v>
      </c>
      <c r="G10" s="151">
        <v>0</v>
      </c>
      <c r="H10" s="49"/>
      <c r="I10" s="90">
        <v>201.5</v>
      </c>
      <c r="J10" s="2"/>
      <c r="K10" s="275">
        <v>0</v>
      </c>
      <c r="L10" s="273">
        <v>300</v>
      </c>
      <c r="M10" s="273">
        <v>300</v>
      </c>
    </row>
    <row r="11" spans="1:13" x14ac:dyDescent="0.2">
      <c r="A11" s="79" t="s">
        <v>709</v>
      </c>
      <c r="B11" s="2" t="s">
        <v>710</v>
      </c>
      <c r="C11" s="3">
        <v>64</v>
      </c>
      <c r="D11" s="151">
        <v>0</v>
      </c>
      <c r="E11" s="3">
        <v>64</v>
      </c>
      <c r="F11" s="3">
        <v>64</v>
      </c>
      <c r="G11" s="151">
        <v>0</v>
      </c>
      <c r="H11" s="3"/>
      <c r="I11" s="90">
        <v>64</v>
      </c>
      <c r="J11" s="2"/>
      <c r="K11" s="273">
        <v>0</v>
      </c>
      <c r="L11" s="273">
        <v>75</v>
      </c>
      <c r="M11" s="273">
        <v>75</v>
      </c>
    </row>
    <row r="12" spans="1:13" x14ac:dyDescent="0.2">
      <c r="A12" s="79" t="s">
        <v>711</v>
      </c>
      <c r="B12" s="2" t="s">
        <v>712</v>
      </c>
      <c r="C12" s="3">
        <v>750</v>
      </c>
      <c r="D12" s="151">
        <v>0</v>
      </c>
      <c r="E12" s="3">
        <v>1200</v>
      </c>
      <c r="F12" s="3">
        <v>1200</v>
      </c>
      <c r="G12" s="151">
        <v>0</v>
      </c>
      <c r="H12" s="3"/>
      <c r="I12" s="90">
        <v>1200</v>
      </c>
      <c r="J12" s="2"/>
      <c r="K12" s="275">
        <v>0</v>
      </c>
      <c r="L12" s="273">
        <v>1200</v>
      </c>
      <c r="M12" s="273">
        <v>1200</v>
      </c>
    </row>
    <row r="13" spans="1:13" x14ac:dyDescent="0.2">
      <c r="A13" s="79" t="s">
        <v>713</v>
      </c>
      <c r="B13" s="2" t="s">
        <v>714</v>
      </c>
      <c r="C13" s="3">
        <v>600</v>
      </c>
      <c r="D13" s="151">
        <v>737.15</v>
      </c>
      <c r="E13" s="3">
        <v>1300</v>
      </c>
      <c r="F13" s="3">
        <v>1700</v>
      </c>
      <c r="G13" s="151">
        <v>456.84</v>
      </c>
      <c r="H13" s="3"/>
      <c r="I13" s="90">
        <v>1700</v>
      </c>
      <c r="J13" s="2"/>
      <c r="K13" s="275">
        <v>532.35</v>
      </c>
      <c r="L13" s="273">
        <v>1200</v>
      </c>
      <c r="M13" s="273">
        <v>1200</v>
      </c>
    </row>
    <row r="14" spans="1:13" x14ac:dyDescent="0.2">
      <c r="A14" s="79" t="s">
        <v>715</v>
      </c>
      <c r="B14" s="2" t="s">
        <v>716</v>
      </c>
      <c r="C14" s="3">
        <v>0</v>
      </c>
      <c r="D14" s="151">
        <v>0</v>
      </c>
      <c r="E14" s="3">
        <v>0</v>
      </c>
      <c r="F14" s="3">
        <v>0</v>
      </c>
      <c r="G14" s="151">
        <v>0</v>
      </c>
      <c r="H14" s="3"/>
      <c r="I14" s="90">
        <v>0</v>
      </c>
      <c r="J14" s="2"/>
      <c r="K14" s="275">
        <v>0</v>
      </c>
      <c r="L14" s="273"/>
      <c r="M14" s="273"/>
    </row>
    <row r="15" spans="1:13" x14ac:dyDescent="0.2">
      <c r="A15" s="79" t="s">
        <v>717</v>
      </c>
      <c r="B15" s="2" t="s">
        <v>119</v>
      </c>
      <c r="C15" s="3">
        <v>200</v>
      </c>
      <c r="D15" s="151">
        <v>0</v>
      </c>
      <c r="E15" s="3">
        <v>200</v>
      </c>
      <c r="F15" s="3">
        <v>200</v>
      </c>
      <c r="G15" s="151">
        <v>0</v>
      </c>
      <c r="H15" s="3"/>
      <c r="I15" s="90">
        <v>200</v>
      </c>
      <c r="J15" s="2"/>
      <c r="K15" s="275">
        <v>0</v>
      </c>
      <c r="L15" s="273">
        <v>200</v>
      </c>
      <c r="M15" s="273">
        <v>200</v>
      </c>
    </row>
    <row r="16" spans="1:13" x14ac:dyDescent="0.2">
      <c r="A16" s="79" t="s">
        <v>1362</v>
      </c>
      <c r="B16" s="2" t="s">
        <v>718</v>
      </c>
      <c r="C16" s="3">
        <v>300</v>
      </c>
      <c r="D16" s="151">
        <v>0</v>
      </c>
      <c r="E16" s="3">
        <v>150</v>
      </c>
      <c r="F16" s="3">
        <v>150</v>
      </c>
      <c r="G16" s="151">
        <v>0</v>
      </c>
      <c r="H16" s="3"/>
      <c r="I16" s="90">
        <v>150</v>
      </c>
      <c r="J16" s="2"/>
      <c r="K16" s="275">
        <v>0</v>
      </c>
      <c r="L16" s="273">
        <v>250</v>
      </c>
      <c r="M16" s="273">
        <v>250</v>
      </c>
    </row>
    <row r="17" spans="1:13" ht="15" x14ac:dyDescent="0.25">
      <c r="A17" s="79"/>
      <c r="B17" s="2" t="s">
        <v>719</v>
      </c>
      <c r="C17" s="51">
        <f t="shared" ref="C17:H17" si="0">SUM(C4:C16)</f>
        <v>4882.2000000000007</v>
      </c>
      <c r="D17" s="161">
        <f t="shared" si="0"/>
        <v>2110.4299999999998</v>
      </c>
      <c r="E17" s="5">
        <f t="shared" si="0"/>
        <v>6035.4804399999994</v>
      </c>
      <c r="F17" s="5">
        <f t="shared" si="0"/>
        <v>7332.98</v>
      </c>
      <c r="G17" s="161">
        <f t="shared" si="0"/>
        <v>2159.2000000000003</v>
      </c>
      <c r="H17" s="5">
        <f t="shared" si="0"/>
        <v>0</v>
      </c>
      <c r="I17" s="250">
        <f>SUM(I4:I16)</f>
        <v>7923.625</v>
      </c>
      <c r="J17" s="250">
        <f>SUM(J4:J16)</f>
        <v>587.75</v>
      </c>
      <c r="K17" s="250">
        <f>SUM(K4:K16)</f>
        <v>2638.31</v>
      </c>
      <c r="L17" s="5">
        <f>SUM(L4:L16)</f>
        <v>7749.9187500000007</v>
      </c>
      <c r="M17" s="5">
        <f>SUM(M4:M16)</f>
        <v>7935.6084374999991</v>
      </c>
    </row>
    <row r="18" spans="1:13" x14ac:dyDescent="0.2">
      <c r="A18" s="79"/>
      <c r="B18" s="2"/>
      <c r="C18" s="2"/>
      <c r="D18" s="2"/>
      <c r="E18" s="3"/>
      <c r="F18" s="2"/>
      <c r="G18" s="151"/>
      <c r="H18" s="151"/>
      <c r="I18" s="156"/>
      <c r="J18" s="2"/>
      <c r="K18" s="275"/>
      <c r="L18" s="273"/>
      <c r="M18" s="2"/>
    </row>
  </sheetData>
  <phoneticPr fontId="24" type="noConversion"/>
  <pageMargins left="0.25" right="0.25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topLeftCell="B20" workbookViewId="0">
      <selection activeCell="L1" sqref="L1:L1048576"/>
    </sheetView>
  </sheetViews>
  <sheetFormatPr defaultRowHeight="14.25" x14ac:dyDescent="0.2"/>
  <cols>
    <col min="1" max="1" width="12" style="80" customWidth="1"/>
    <col min="2" max="2" width="31.75" customWidth="1"/>
    <col min="3" max="3" width="13" style="46" hidden="1" customWidth="1"/>
    <col min="4" max="4" width="12.375" hidden="1" customWidth="1"/>
    <col min="5" max="5" width="13" hidden="1" customWidth="1"/>
    <col min="6" max="6" width="12.75" style="46" hidden="1" customWidth="1"/>
    <col min="7" max="7" width="12.75" hidden="1" customWidth="1"/>
    <col min="8" max="8" width="14.375" hidden="1" customWidth="1"/>
    <col min="9" max="9" width="12.5" hidden="1" customWidth="1"/>
    <col min="10" max="10" width="12" hidden="1" customWidth="1"/>
    <col min="11" max="11" width="14.75" hidden="1" customWidth="1"/>
    <col min="12" max="12" width="15.625" hidden="1" customWidth="1"/>
    <col min="13" max="13" width="12.5" customWidth="1"/>
  </cols>
  <sheetData>
    <row r="1" spans="1:13" x14ac:dyDescent="0.2">
      <c r="A1" s="81"/>
      <c r="B1" s="82"/>
      <c r="I1" s="2"/>
      <c r="J1" s="2"/>
    </row>
    <row r="2" spans="1:13" ht="45" x14ac:dyDescent="0.25">
      <c r="A2" s="357"/>
      <c r="B2" s="358" t="s">
        <v>16</v>
      </c>
      <c r="C2" s="47" t="s">
        <v>482</v>
      </c>
      <c r="D2" s="143" t="s">
        <v>1351</v>
      </c>
      <c r="E2" s="143" t="s">
        <v>1352</v>
      </c>
      <c r="F2" s="143" t="s">
        <v>1508</v>
      </c>
      <c r="G2" s="143" t="s">
        <v>1494</v>
      </c>
      <c r="H2" s="154" t="s">
        <v>1505</v>
      </c>
      <c r="I2" s="47" t="s">
        <v>1590</v>
      </c>
      <c r="J2" s="305"/>
      <c r="K2" s="143" t="s">
        <v>1568</v>
      </c>
      <c r="L2" s="143" t="s">
        <v>1634</v>
      </c>
      <c r="M2" s="143" t="s">
        <v>1686</v>
      </c>
    </row>
    <row r="3" spans="1:13" ht="15" x14ac:dyDescent="0.25">
      <c r="A3" s="359"/>
      <c r="B3" s="360"/>
      <c r="C3" s="23"/>
      <c r="D3" s="305"/>
      <c r="E3" s="305"/>
      <c r="F3" s="23"/>
      <c r="G3" s="213"/>
      <c r="H3" s="233"/>
      <c r="I3" s="23"/>
      <c r="J3" s="305"/>
      <c r="K3" s="361"/>
      <c r="L3" s="361"/>
      <c r="M3" s="2"/>
    </row>
    <row r="4" spans="1:13" x14ac:dyDescent="0.2">
      <c r="A4" s="359" t="s">
        <v>721</v>
      </c>
      <c r="B4" s="359" t="s">
        <v>681</v>
      </c>
      <c r="C4" s="23">
        <v>25657.119999999999</v>
      </c>
      <c r="D4" s="213">
        <v>13611.77</v>
      </c>
      <c r="E4" s="213">
        <v>27900.13</v>
      </c>
      <c r="F4" s="23">
        <v>30597</v>
      </c>
      <c r="G4" s="213">
        <v>14757.82</v>
      </c>
      <c r="H4" s="248">
        <v>30597</v>
      </c>
      <c r="I4" s="248">
        <v>32097</v>
      </c>
      <c r="J4" s="23">
        <f>SUM(I4-F$4)</f>
        <v>1500</v>
      </c>
      <c r="K4" s="361">
        <v>15873.56</v>
      </c>
      <c r="L4" s="23">
        <f>SUM(I4)*1.03</f>
        <v>33059.910000000003</v>
      </c>
      <c r="M4" s="23">
        <f>SUM(L4)*1.03</f>
        <v>34051.707300000002</v>
      </c>
    </row>
    <row r="5" spans="1:13" x14ac:dyDescent="0.2">
      <c r="A5" s="359" t="s">
        <v>722</v>
      </c>
      <c r="B5" s="359" t="s">
        <v>723</v>
      </c>
      <c r="C5" s="23">
        <v>12377.31</v>
      </c>
      <c r="D5" s="213">
        <v>6587.44</v>
      </c>
      <c r="E5" s="213">
        <v>13131.09</v>
      </c>
      <c r="F5" s="23">
        <v>15795</v>
      </c>
      <c r="G5" s="213">
        <v>7654.32</v>
      </c>
      <c r="H5" s="248">
        <v>15795</v>
      </c>
      <c r="I5" s="248">
        <v>16795</v>
      </c>
      <c r="J5" s="23">
        <f>SUM(I5-F5)</f>
        <v>1000</v>
      </c>
      <c r="K5" s="362">
        <v>8201.25</v>
      </c>
      <c r="L5" s="23">
        <f>SUM(I5)*1.03</f>
        <v>17298.850000000002</v>
      </c>
      <c r="M5" s="23">
        <f>SUM(L5)*1.03</f>
        <v>17817.815500000004</v>
      </c>
    </row>
    <row r="6" spans="1:13" x14ac:dyDescent="0.2">
      <c r="A6" s="359" t="s">
        <v>724</v>
      </c>
      <c r="B6" s="359" t="s">
        <v>725</v>
      </c>
      <c r="C6" s="23">
        <v>12377.31</v>
      </c>
      <c r="D6" s="213">
        <v>6587.44</v>
      </c>
      <c r="E6" s="213">
        <v>13131.09</v>
      </c>
      <c r="F6" s="23">
        <v>15795</v>
      </c>
      <c r="G6" s="213">
        <v>7654.32</v>
      </c>
      <c r="H6" s="248">
        <v>15795</v>
      </c>
      <c r="I6" s="248">
        <v>16795</v>
      </c>
      <c r="J6" s="23">
        <f>SUM(I6-F6)</f>
        <v>1000</v>
      </c>
      <c r="K6" s="362">
        <v>8201.25</v>
      </c>
      <c r="L6" s="23">
        <f>SUM(I6)*1.03</f>
        <v>17298.850000000002</v>
      </c>
      <c r="M6" s="23">
        <f>SUM(L6)*1.03</f>
        <v>17817.815500000004</v>
      </c>
    </row>
    <row r="7" spans="1:13" x14ac:dyDescent="0.2">
      <c r="A7" s="359" t="s">
        <v>726</v>
      </c>
      <c r="B7" s="359" t="s">
        <v>727</v>
      </c>
      <c r="C7" s="23">
        <v>5400</v>
      </c>
      <c r="D7" s="213">
        <v>0</v>
      </c>
      <c r="E7" s="213">
        <v>5400</v>
      </c>
      <c r="F7" s="23">
        <v>3000</v>
      </c>
      <c r="G7" s="213">
        <v>0</v>
      </c>
      <c r="H7" s="248">
        <v>3000</v>
      </c>
      <c r="I7" s="248">
        <v>3000</v>
      </c>
      <c r="J7" s="305"/>
      <c r="K7" s="363">
        <v>0</v>
      </c>
      <c r="L7" s="361">
        <v>3000</v>
      </c>
      <c r="M7" s="547">
        <v>3000</v>
      </c>
    </row>
    <row r="8" spans="1:13" x14ac:dyDescent="0.2">
      <c r="A8" s="359" t="s">
        <v>728</v>
      </c>
      <c r="B8" s="359" t="s">
        <v>729</v>
      </c>
      <c r="C8" s="23">
        <v>16048.68</v>
      </c>
      <c r="D8" s="213">
        <v>8584.1299999999992</v>
      </c>
      <c r="E8" s="213">
        <v>17026.04</v>
      </c>
      <c r="F8" s="23">
        <v>19387</v>
      </c>
      <c r="G8" s="213">
        <v>9254.58</v>
      </c>
      <c r="H8" s="248">
        <v>19387</v>
      </c>
      <c r="I8" s="248">
        <v>20387</v>
      </c>
      <c r="J8" s="23">
        <f>SUM(I8-F8)</f>
        <v>1000</v>
      </c>
      <c r="K8" s="363">
        <v>9918.2800000000007</v>
      </c>
      <c r="L8" s="23">
        <f>SUM(I8)*1.03</f>
        <v>20998.61</v>
      </c>
      <c r="M8" s="23">
        <f>SUM(L8)*1.03</f>
        <v>21628.568300000003</v>
      </c>
    </row>
    <row r="9" spans="1:13" x14ac:dyDescent="0.2">
      <c r="A9" s="359" t="s">
        <v>730</v>
      </c>
      <c r="B9" s="359" t="s">
        <v>220</v>
      </c>
      <c r="C9" s="23">
        <v>1415</v>
      </c>
      <c r="D9" s="213">
        <v>815</v>
      </c>
      <c r="E9" s="213">
        <v>1655</v>
      </c>
      <c r="F9" s="23">
        <v>0</v>
      </c>
      <c r="G9" s="213">
        <v>0</v>
      </c>
      <c r="H9" s="248"/>
      <c r="I9" s="248">
        <v>175</v>
      </c>
      <c r="J9" s="305"/>
      <c r="K9" s="363">
        <v>37.5</v>
      </c>
      <c r="L9" s="23">
        <v>175</v>
      </c>
      <c r="M9" s="571">
        <v>25</v>
      </c>
    </row>
    <row r="10" spans="1:13" x14ac:dyDescent="0.2">
      <c r="A10" s="359" t="s">
        <v>731</v>
      </c>
      <c r="B10" s="359" t="s">
        <v>226</v>
      </c>
      <c r="C10" s="23">
        <v>400</v>
      </c>
      <c r="D10" s="213">
        <v>125.38</v>
      </c>
      <c r="E10" s="213">
        <v>400</v>
      </c>
      <c r="F10" s="23">
        <v>400</v>
      </c>
      <c r="G10" s="213">
        <v>95.87</v>
      </c>
      <c r="H10" s="248">
        <v>400</v>
      </c>
      <c r="I10" s="248">
        <v>400</v>
      </c>
      <c r="J10" s="305"/>
      <c r="K10" s="361">
        <v>116.12</v>
      </c>
      <c r="L10" s="23">
        <v>400</v>
      </c>
      <c r="M10" s="571">
        <v>400</v>
      </c>
    </row>
    <row r="11" spans="1:13" x14ac:dyDescent="0.2">
      <c r="A11" s="359" t="s">
        <v>732</v>
      </c>
      <c r="B11" s="359" t="s">
        <v>228</v>
      </c>
      <c r="C11" s="23">
        <f>SUM(C4:C9)*0.129</f>
        <v>9452.5291799999995</v>
      </c>
      <c r="D11" s="213">
        <v>2710.75</v>
      </c>
      <c r="E11" s="213">
        <v>9307.5400000000009</v>
      </c>
      <c r="F11" s="23">
        <v>9607.61</v>
      </c>
      <c r="G11" s="213">
        <v>2677.65</v>
      </c>
      <c r="H11" s="233" cm="1">
        <f t="array" ref="H11">SUM(H$4:H$9-H$7)*0.099</f>
        <v>6590.826</v>
      </c>
      <c r="I11" s="233">
        <f>SUM(I$4:I$9)*0.099</f>
        <v>8835.6509999999998</v>
      </c>
      <c r="J11" s="213" cm="1">
        <f t="array" ref="J11">SUM(J$4:J$9-J$7)*0.099</f>
        <v>445.5</v>
      </c>
      <c r="K11" s="363">
        <v>2849.03</v>
      </c>
      <c r="L11" s="213">
        <f>SUM(L$4:L$9)*0.085</f>
        <v>7805.6537000000017</v>
      </c>
      <c r="M11" s="547">
        <f>SUM(M$4:M$9)*0.085</f>
        <v>8018.9770610000005</v>
      </c>
    </row>
    <row r="12" spans="1:13" x14ac:dyDescent="0.2">
      <c r="A12" s="359" t="s">
        <v>733</v>
      </c>
      <c r="B12" s="359" t="s">
        <v>230</v>
      </c>
      <c r="C12" s="23">
        <f>SUM(C4:C9)*0.0145</f>
        <v>1062.49359</v>
      </c>
      <c r="D12" s="213">
        <v>508.73</v>
      </c>
      <c r="E12" s="213">
        <v>1124.6600000000001</v>
      </c>
      <c r="F12" s="23">
        <v>1226.32</v>
      </c>
      <c r="G12" s="213">
        <v>592.83000000000004</v>
      </c>
      <c r="H12" s="233">
        <f>SUM(H$4:H$9)*0.0145</f>
        <v>1226.3230000000001</v>
      </c>
      <c r="I12" s="233">
        <f>SUM(I$4:I$9)*0.0145</f>
        <v>1294.1105</v>
      </c>
      <c r="J12" s="213">
        <f>SUM(J$4:J$9)*0.0145</f>
        <v>65.25</v>
      </c>
      <c r="K12" s="363">
        <v>675.47</v>
      </c>
      <c r="L12" s="213">
        <f>SUM(L$4:L$9)*0.0145</f>
        <v>1331.5526900000002</v>
      </c>
      <c r="M12" s="213">
        <f>SUM(M$4:M$9)*0.0145</f>
        <v>1367.9431457000001</v>
      </c>
    </row>
    <row r="13" spans="1:13" x14ac:dyDescent="0.2">
      <c r="A13" s="359" t="s">
        <v>734</v>
      </c>
      <c r="B13" s="359" t="s">
        <v>232</v>
      </c>
      <c r="C13" s="23">
        <f>SUM(C4:C9)*0.062</f>
        <v>4543.0760399999999</v>
      </c>
      <c r="D13" s="213">
        <v>2175.2199999999998</v>
      </c>
      <c r="E13" s="213">
        <v>4808.8999999999996</v>
      </c>
      <c r="F13" s="23">
        <v>5243.59</v>
      </c>
      <c r="G13" s="213">
        <v>2535.08</v>
      </c>
      <c r="H13" s="233">
        <f>SUM(H$4:H$9)*0.062</f>
        <v>5243.5879999999997</v>
      </c>
      <c r="I13" s="233">
        <f>SUM(I$4:I$9)*0.062</f>
        <v>5533.4380000000001</v>
      </c>
      <c r="J13" s="213">
        <f>SUM(J$4:J$9)*0.062</f>
        <v>279</v>
      </c>
      <c r="K13" s="363">
        <v>2888.08</v>
      </c>
      <c r="L13" s="213">
        <f>SUM(L$4:L$9)*0.062</f>
        <v>5693.535640000001</v>
      </c>
      <c r="M13" s="213">
        <f>SUM(M$4:M$9)*0.062</f>
        <v>5849.1362091999999</v>
      </c>
    </row>
    <row r="14" spans="1:13" x14ac:dyDescent="0.2">
      <c r="A14" s="359" t="s">
        <v>735</v>
      </c>
      <c r="B14" s="359" t="s">
        <v>234</v>
      </c>
      <c r="C14" s="219">
        <f>SUM(7902.72*1.074)</f>
        <v>8487.5212800000008</v>
      </c>
      <c r="D14" s="213">
        <v>5036.59</v>
      </c>
      <c r="E14" s="213">
        <v>9298.48</v>
      </c>
      <c r="F14" s="213">
        <v>10630</v>
      </c>
      <c r="G14" s="213">
        <v>5750.16</v>
      </c>
      <c r="H14" s="233">
        <v>11305.68</v>
      </c>
      <c r="I14" s="233">
        <v>11305.68</v>
      </c>
      <c r="J14" s="305"/>
      <c r="K14" s="363">
        <v>6123.91</v>
      </c>
      <c r="L14" s="23">
        <v>12108</v>
      </c>
      <c r="M14" s="547">
        <v>12762.24</v>
      </c>
    </row>
    <row r="15" spans="1:13" x14ac:dyDescent="0.2">
      <c r="A15" s="359" t="s">
        <v>736</v>
      </c>
      <c r="B15" s="359" t="s">
        <v>236</v>
      </c>
      <c r="C15" s="23"/>
      <c r="D15" s="213">
        <v>0</v>
      </c>
      <c r="E15" s="213"/>
      <c r="F15" s="23">
        <v>0</v>
      </c>
      <c r="G15" s="213">
        <v>0</v>
      </c>
      <c r="H15" s="248"/>
      <c r="I15" s="248"/>
      <c r="J15" s="305"/>
      <c r="K15" s="363">
        <v>0</v>
      </c>
      <c r="L15" s="361"/>
      <c r="M15" s="547"/>
    </row>
    <row r="16" spans="1:13" x14ac:dyDescent="0.2">
      <c r="A16" s="359" t="s">
        <v>1591</v>
      </c>
      <c r="B16" s="359" t="s">
        <v>1571</v>
      </c>
      <c r="C16" s="23"/>
      <c r="D16" s="213"/>
      <c r="E16" s="213"/>
      <c r="F16" s="23"/>
      <c r="G16" s="213"/>
      <c r="H16" s="248"/>
      <c r="I16" s="248"/>
      <c r="J16" s="305"/>
      <c r="K16" s="363">
        <v>2324.81</v>
      </c>
      <c r="L16" s="361"/>
      <c r="M16" s="547"/>
    </row>
    <row r="17" spans="1:13" x14ac:dyDescent="0.2">
      <c r="A17" s="359" t="s">
        <v>737</v>
      </c>
      <c r="B17" s="359" t="s">
        <v>738</v>
      </c>
      <c r="C17" s="364">
        <v>150</v>
      </c>
      <c r="D17" s="213">
        <v>0</v>
      </c>
      <c r="E17" s="213">
        <v>150</v>
      </c>
      <c r="F17" s="213">
        <v>150</v>
      </c>
      <c r="G17" s="213">
        <v>0</v>
      </c>
      <c r="H17" s="233">
        <v>150</v>
      </c>
      <c r="I17" s="233">
        <v>150</v>
      </c>
      <c r="J17" s="305"/>
      <c r="K17" s="363"/>
      <c r="L17" s="23">
        <v>150</v>
      </c>
      <c r="M17" s="548">
        <v>150</v>
      </c>
    </row>
    <row r="18" spans="1:13" x14ac:dyDescent="0.2">
      <c r="A18" s="359" t="s">
        <v>739</v>
      </c>
      <c r="B18" s="359" t="s">
        <v>740</v>
      </c>
      <c r="C18" s="364">
        <v>1000</v>
      </c>
      <c r="D18" s="213">
        <v>0</v>
      </c>
      <c r="E18" s="213">
        <v>1000</v>
      </c>
      <c r="F18" s="213">
        <v>1000</v>
      </c>
      <c r="G18" s="213">
        <v>0</v>
      </c>
      <c r="H18" s="233">
        <v>1000</v>
      </c>
      <c r="I18" s="233">
        <v>1000</v>
      </c>
      <c r="J18" s="305"/>
      <c r="K18" s="363">
        <v>279.97000000000003</v>
      </c>
      <c r="L18" s="213">
        <v>1000</v>
      </c>
      <c r="M18" s="548">
        <v>1000</v>
      </c>
    </row>
    <row r="19" spans="1:13" x14ac:dyDescent="0.2">
      <c r="A19" s="359" t="s">
        <v>741</v>
      </c>
      <c r="B19" s="359" t="s">
        <v>742</v>
      </c>
      <c r="C19" s="364">
        <v>2500</v>
      </c>
      <c r="D19" s="213">
        <v>1126.56</v>
      </c>
      <c r="E19" s="213">
        <v>3000</v>
      </c>
      <c r="F19" s="213">
        <v>3000</v>
      </c>
      <c r="G19" s="213">
        <v>815.79</v>
      </c>
      <c r="H19" s="233">
        <v>3000</v>
      </c>
      <c r="I19" s="233">
        <v>3000</v>
      </c>
      <c r="J19" s="305"/>
      <c r="K19" s="363">
        <v>1507.5</v>
      </c>
      <c r="L19" s="213">
        <v>3000</v>
      </c>
      <c r="M19" s="548">
        <v>3000</v>
      </c>
    </row>
    <row r="20" spans="1:13" x14ac:dyDescent="0.2">
      <c r="A20" s="359" t="s">
        <v>743</v>
      </c>
      <c r="B20" s="359" t="s">
        <v>744</v>
      </c>
      <c r="C20" s="364">
        <v>2750</v>
      </c>
      <c r="D20" s="213">
        <v>666.9</v>
      </c>
      <c r="E20" s="213">
        <v>2750</v>
      </c>
      <c r="F20" s="213">
        <v>2750</v>
      </c>
      <c r="G20" s="213">
        <v>1216.73</v>
      </c>
      <c r="H20" s="233">
        <v>2750</v>
      </c>
      <c r="I20" s="233">
        <v>2750</v>
      </c>
      <c r="J20" s="305"/>
      <c r="K20" s="363">
        <v>830.2</v>
      </c>
      <c r="L20" s="213">
        <v>2750</v>
      </c>
      <c r="M20" s="548">
        <v>2750</v>
      </c>
    </row>
    <row r="21" spans="1:13" x14ac:dyDescent="0.2">
      <c r="A21" s="359" t="s">
        <v>745</v>
      </c>
      <c r="B21" s="359" t="s">
        <v>242</v>
      </c>
      <c r="C21" s="364">
        <v>1250</v>
      </c>
      <c r="D21" s="213">
        <v>37.369999999999997</v>
      </c>
      <c r="E21" s="213">
        <v>750</v>
      </c>
      <c r="F21" s="213">
        <v>800</v>
      </c>
      <c r="G21" s="213">
        <v>58</v>
      </c>
      <c r="H21" s="233">
        <v>200</v>
      </c>
      <c r="I21" s="233">
        <v>200</v>
      </c>
      <c r="J21" s="305"/>
      <c r="K21" s="363">
        <v>59.57</v>
      </c>
      <c r="L21" s="213">
        <v>200</v>
      </c>
      <c r="M21" s="548">
        <v>200</v>
      </c>
    </row>
    <row r="22" spans="1:13" x14ac:dyDescent="0.2">
      <c r="A22" s="359" t="s">
        <v>746</v>
      </c>
      <c r="B22" s="359" t="s">
        <v>508</v>
      </c>
      <c r="C22" s="364">
        <v>4200</v>
      </c>
      <c r="D22" s="213">
        <v>1847.4</v>
      </c>
      <c r="E22" s="213">
        <v>4200</v>
      </c>
      <c r="F22" s="213">
        <v>4200</v>
      </c>
      <c r="G22" s="213">
        <v>1563.64</v>
      </c>
      <c r="H22" s="233">
        <v>4200</v>
      </c>
      <c r="I22" s="233">
        <v>4200</v>
      </c>
      <c r="J22" s="305"/>
      <c r="K22" s="363">
        <v>1881.53</v>
      </c>
      <c r="L22" s="213">
        <v>4200</v>
      </c>
      <c r="M22" s="548">
        <v>4200</v>
      </c>
    </row>
    <row r="23" spans="1:13" x14ac:dyDescent="0.2">
      <c r="A23" s="359" t="s">
        <v>747</v>
      </c>
      <c r="B23" s="359" t="s">
        <v>748</v>
      </c>
      <c r="C23" s="364">
        <v>10500</v>
      </c>
      <c r="D23" s="213">
        <v>2520.23</v>
      </c>
      <c r="E23" s="213">
        <v>7500</v>
      </c>
      <c r="F23" s="213">
        <v>9000</v>
      </c>
      <c r="G23" s="213">
        <v>5325.34</v>
      </c>
      <c r="H23" s="233">
        <v>9000</v>
      </c>
      <c r="I23" s="233">
        <v>9000</v>
      </c>
      <c r="J23" s="305"/>
      <c r="K23" s="363">
        <v>6132.79</v>
      </c>
      <c r="L23" s="23">
        <v>11000</v>
      </c>
      <c r="M23" s="547">
        <v>12000</v>
      </c>
    </row>
    <row r="24" spans="1:13" x14ac:dyDescent="0.2">
      <c r="A24" s="359" t="s">
        <v>749</v>
      </c>
      <c r="B24" s="359" t="s">
        <v>254</v>
      </c>
      <c r="C24" s="364">
        <v>1800</v>
      </c>
      <c r="D24" s="213">
        <v>954.23</v>
      </c>
      <c r="E24" s="213">
        <v>2000</v>
      </c>
      <c r="F24" s="213">
        <v>4205.87</v>
      </c>
      <c r="G24" s="213">
        <v>0</v>
      </c>
      <c r="H24" s="233">
        <v>4205.87</v>
      </c>
      <c r="I24" s="233">
        <v>4205.87</v>
      </c>
      <c r="J24" s="305"/>
      <c r="K24" s="363">
        <v>0</v>
      </c>
      <c r="L24" s="213">
        <v>1000</v>
      </c>
      <c r="M24" s="547">
        <v>250</v>
      </c>
    </row>
    <row r="25" spans="1:13" x14ac:dyDescent="0.2">
      <c r="A25" s="359" t="s">
        <v>750</v>
      </c>
      <c r="B25" s="359" t="s">
        <v>751</v>
      </c>
      <c r="C25" s="364">
        <v>4500</v>
      </c>
      <c r="D25" s="213">
        <v>3056.16</v>
      </c>
      <c r="E25" s="213">
        <v>4500</v>
      </c>
      <c r="F25" s="213">
        <v>6500</v>
      </c>
      <c r="G25" s="213">
        <v>3072.38</v>
      </c>
      <c r="H25" s="233">
        <v>6500</v>
      </c>
      <c r="I25" s="233">
        <v>6500</v>
      </c>
      <c r="J25" s="305"/>
      <c r="K25" s="363">
        <v>4954.47</v>
      </c>
      <c r="L25" s="213">
        <v>6500</v>
      </c>
      <c r="M25" s="547">
        <v>7000</v>
      </c>
    </row>
    <row r="26" spans="1:13" x14ac:dyDescent="0.2">
      <c r="A26" s="359" t="s">
        <v>752</v>
      </c>
      <c r="B26" s="359" t="s">
        <v>753</v>
      </c>
      <c r="C26" s="364">
        <v>2800</v>
      </c>
      <c r="D26" s="213">
        <v>1133.1600000000001</v>
      </c>
      <c r="E26" s="213">
        <v>3000</v>
      </c>
      <c r="F26" s="213">
        <v>4500</v>
      </c>
      <c r="G26" s="213">
        <v>362.01</v>
      </c>
      <c r="H26" s="233">
        <v>4500</v>
      </c>
      <c r="I26" s="233">
        <v>4500</v>
      </c>
      <c r="J26" s="305"/>
      <c r="K26" s="363">
        <v>691.84</v>
      </c>
      <c r="L26" s="213">
        <v>4500</v>
      </c>
      <c r="M26" s="548">
        <v>4500</v>
      </c>
    </row>
    <row r="27" spans="1:13" x14ac:dyDescent="0.2">
      <c r="A27" s="359" t="s">
        <v>754</v>
      </c>
      <c r="B27" s="359" t="s">
        <v>755</v>
      </c>
      <c r="C27" s="364">
        <v>100</v>
      </c>
      <c r="D27" s="213">
        <v>0</v>
      </c>
      <c r="E27" s="213">
        <v>100</v>
      </c>
      <c r="F27" s="213">
        <v>100</v>
      </c>
      <c r="G27" s="213">
        <v>0</v>
      </c>
      <c r="H27" s="233">
        <v>600</v>
      </c>
      <c r="I27" s="233">
        <v>600</v>
      </c>
      <c r="J27" s="305"/>
      <c r="K27" s="363">
        <v>0</v>
      </c>
      <c r="L27" s="213">
        <v>600</v>
      </c>
      <c r="M27" s="548">
        <v>600</v>
      </c>
    </row>
    <row r="28" spans="1:13" x14ac:dyDescent="0.2">
      <c r="A28" s="359" t="s">
        <v>756</v>
      </c>
      <c r="B28" s="359" t="s">
        <v>757</v>
      </c>
      <c r="C28" s="23"/>
      <c r="D28" s="213">
        <v>0</v>
      </c>
      <c r="E28" s="213"/>
      <c r="F28" s="213">
        <v>0</v>
      </c>
      <c r="G28" s="213">
        <v>0</v>
      </c>
      <c r="H28" s="233">
        <v>100</v>
      </c>
      <c r="I28" s="233">
        <v>100</v>
      </c>
      <c r="J28" s="305"/>
      <c r="K28" s="363">
        <v>0</v>
      </c>
      <c r="L28" s="213">
        <v>100</v>
      </c>
      <c r="M28" s="548">
        <v>100</v>
      </c>
    </row>
    <row r="29" spans="1:13" x14ac:dyDescent="0.2">
      <c r="A29" s="359" t="s">
        <v>758</v>
      </c>
      <c r="B29" s="359" t="s">
        <v>759</v>
      </c>
      <c r="C29" s="23">
        <v>2500</v>
      </c>
      <c r="D29" s="213">
        <v>1618.3</v>
      </c>
      <c r="E29" s="213">
        <v>3000</v>
      </c>
      <c r="F29" s="213">
        <v>3000</v>
      </c>
      <c r="G29" s="213">
        <v>786.13</v>
      </c>
      <c r="H29" s="233">
        <v>3000</v>
      </c>
      <c r="I29" s="233">
        <v>3000</v>
      </c>
      <c r="J29" s="305"/>
      <c r="K29" s="363">
        <v>9906.26</v>
      </c>
      <c r="L29" s="361">
        <v>5000</v>
      </c>
      <c r="M29" s="549">
        <v>3000</v>
      </c>
    </row>
    <row r="30" spans="1:13" x14ac:dyDescent="0.2">
      <c r="A30" s="359" t="s">
        <v>760</v>
      </c>
      <c r="B30" s="359" t="s">
        <v>1669</v>
      </c>
      <c r="C30" s="23">
        <v>0</v>
      </c>
      <c r="D30" s="213">
        <v>0</v>
      </c>
      <c r="E30" s="213"/>
      <c r="F30" s="213">
        <v>7394</v>
      </c>
      <c r="G30" s="213">
        <v>0</v>
      </c>
      <c r="H30" s="233">
        <v>12500</v>
      </c>
      <c r="I30" s="233">
        <v>12500</v>
      </c>
      <c r="J30" s="305"/>
      <c r="K30" s="363">
        <v>0</v>
      </c>
      <c r="L30" s="213">
        <v>12500</v>
      </c>
      <c r="M30" s="547">
        <v>12782</v>
      </c>
    </row>
    <row r="31" spans="1:13" x14ac:dyDescent="0.2">
      <c r="A31" s="359" t="s">
        <v>762</v>
      </c>
      <c r="B31" s="359" t="s">
        <v>260</v>
      </c>
      <c r="C31" s="23">
        <v>1800</v>
      </c>
      <c r="D31" s="213">
        <v>930</v>
      </c>
      <c r="E31" s="213">
        <v>1200</v>
      </c>
      <c r="F31" s="213">
        <v>1200</v>
      </c>
      <c r="G31" s="213">
        <v>0</v>
      </c>
      <c r="H31" s="233">
        <v>1200</v>
      </c>
      <c r="I31" s="233">
        <v>1200</v>
      </c>
      <c r="J31" s="305"/>
      <c r="K31" s="363">
        <v>0</v>
      </c>
      <c r="L31" s="213">
        <v>1200</v>
      </c>
      <c r="M31" s="548">
        <v>1200</v>
      </c>
    </row>
    <row r="32" spans="1:13" x14ac:dyDescent="0.2">
      <c r="A32" s="359" t="s">
        <v>763</v>
      </c>
      <c r="B32" s="365" t="s">
        <v>764</v>
      </c>
      <c r="C32" s="23">
        <v>1200</v>
      </c>
      <c r="D32" s="213">
        <v>600</v>
      </c>
      <c r="E32" s="213">
        <v>1200</v>
      </c>
      <c r="F32" s="213">
        <v>1200</v>
      </c>
      <c r="G32" s="213">
        <v>650</v>
      </c>
      <c r="H32" s="233">
        <v>1200</v>
      </c>
      <c r="I32" s="233">
        <v>1200</v>
      </c>
      <c r="J32" s="305"/>
      <c r="K32" s="363">
        <v>650</v>
      </c>
      <c r="L32" s="213">
        <v>1300</v>
      </c>
      <c r="M32" s="548">
        <v>1300</v>
      </c>
    </row>
    <row r="33" spans="1:13" x14ac:dyDescent="0.2">
      <c r="A33" s="359" t="s">
        <v>765</v>
      </c>
      <c r="B33" s="359" t="s">
        <v>338</v>
      </c>
      <c r="C33" s="364">
        <v>1500</v>
      </c>
      <c r="D33" s="213">
        <v>355.65</v>
      </c>
      <c r="E33" s="213">
        <v>1500</v>
      </c>
      <c r="F33" s="213">
        <v>1500</v>
      </c>
      <c r="G33" s="213">
        <v>603.96</v>
      </c>
      <c r="H33" s="233">
        <v>1500</v>
      </c>
      <c r="I33" s="233">
        <v>1500</v>
      </c>
      <c r="J33" s="305"/>
      <c r="K33" s="363">
        <v>201.7</v>
      </c>
      <c r="L33" s="213">
        <v>1500</v>
      </c>
      <c r="M33" s="548">
        <v>1500</v>
      </c>
    </row>
    <row r="34" spans="1:13" x14ac:dyDescent="0.2">
      <c r="A34" s="359" t="s">
        <v>766</v>
      </c>
      <c r="B34" s="359" t="s">
        <v>767</v>
      </c>
      <c r="C34" s="364">
        <v>500</v>
      </c>
      <c r="D34" s="213">
        <v>0</v>
      </c>
      <c r="E34" s="213">
        <v>0</v>
      </c>
      <c r="F34" s="213">
        <v>0</v>
      </c>
      <c r="G34" s="213">
        <v>0</v>
      </c>
      <c r="H34" s="233"/>
      <c r="I34" s="233"/>
      <c r="J34" s="305"/>
      <c r="K34" s="363">
        <v>0</v>
      </c>
      <c r="L34" s="213"/>
      <c r="M34" s="548"/>
    </row>
    <row r="35" spans="1:13" x14ac:dyDescent="0.2">
      <c r="A35" s="359" t="s">
        <v>768</v>
      </c>
      <c r="B35" s="359" t="s">
        <v>769</v>
      </c>
      <c r="C35" s="364">
        <v>1000</v>
      </c>
      <c r="D35" s="213">
        <v>790</v>
      </c>
      <c r="E35" s="213">
        <v>1000</v>
      </c>
      <c r="F35" s="213">
        <v>1000</v>
      </c>
      <c r="G35" s="213">
        <v>378.92</v>
      </c>
      <c r="H35" s="233">
        <v>1000</v>
      </c>
      <c r="I35" s="233">
        <v>1000</v>
      </c>
      <c r="J35" s="305"/>
      <c r="K35" s="363">
        <v>1054.95</v>
      </c>
      <c r="L35" s="213">
        <v>1000</v>
      </c>
      <c r="M35" s="548">
        <v>1000</v>
      </c>
    </row>
    <row r="36" spans="1:13" x14ac:dyDescent="0.2">
      <c r="A36" s="359"/>
      <c r="B36" s="359" t="s">
        <v>1666</v>
      </c>
      <c r="C36" s="364"/>
      <c r="D36" s="213"/>
      <c r="E36" s="213"/>
      <c r="F36" s="213"/>
      <c r="G36" s="213"/>
      <c r="H36" s="233"/>
      <c r="I36" s="233"/>
      <c r="J36" s="342"/>
      <c r="K36" s="582"/>
      <c r="L36" s="213"/>
      <c r="M36" s="548">
        <v>9710</v>
      </c>
    </row>
    <row r="37" spans="1:13" ht="15" x14ac:dyDescent="0.25">
      <c r="A37" s="357"/>
      <c r="B37" s="357" t="s">
        <v>169</v>
      </c>
      <c r="C37" s="4">
        <f t="shared" ref="C37:H37" si="0">SUM(C4:C35)</f>
        <v>137271.04008999999</v>
      </c>
      <c r="D37" s="161">
        <f t="shared" si="0"/>
        <v>62378.410000000011</v>
      </c>
      <c r="E37" s="161">
        <f t="shared" si="0"/>
        <v>140032.93</v>
      </c>
      <c r="F37" s="161">
        <f t="shared" si="0"/>
        <v>163181.39000000001</v>
      </c>
      <c r="G37" s="161">
        <f t="shared" si="0"/>
        <v>65805.53</v>
      </c>
      <c r="H37" s="164">
        <f t="shared" si="0"/>
        <v>165946.28700000001</v>
      </c>
      <c r="I37" s="164">
        <f>SUM(I$4:I$35)</f>
        <v>173223.74949999998</v>
      </c>
      <c r="J37" s="164">
        <f>SUM(J$4:J$35)</f>
        <v>5289.75</v>
      </c>
      <c r="K37" s="164">
        <f>SUM(K$4:K$35)</f>
        <v>85360.039999999979</v>
      </c>
      <c r="L37" s="161">
        <f>SUM(L$4:L$35)</f>
        <v>176669.96203</v>
      </c>
      <c r="M37" s="161">
        <f>SUM(M4:M36)</f>
        <v>188981.20301590001</v>
      </c>
    </row>
    <row r="38" spans="1:13" x14ac:dyDescent="0.2">
      <c r="A38" s="359"/>
      <c r="B38" s="305"/>
      <c r="C38" s="23"/>
      <c r="D38" s="213"/>
      <c r="E38" s="213"/>
      <c r="F38" s="23"/>
      <c r="G38" s="213"/>
      <c r="H38" s="233"/>
      <c r="I38" s="305"/>
      <c r="J38" s="305"/>
      <c r="K38" s="363"/>
      <c r="L38" s="361"/>
      <c r="M38" s="2"/>
    </row>
    <row r="39" spans="1:13" ht="15" x14ac:dyDescent="0.25">
      <c r="A39" s="359"/>
      <c r="B39" s="357"/>
      <c r="C39" s="23"/>
      <c r="D39" s="213"/>
      <c r="E39" s="213"/>
      <c r="F39" s="23"/>
      <c r="G39" s="213"/>
      <c r="H39" s="233"/>
      <c r="I39" s="305"/>
      <c r="J39" s="305"/>
      <c r="K39" s="363"/>
      <c r="L39" s="361"/>
      <c r="M39" s="2"/>
    </row>
    <row r="40" spans="1:13" ht="15" x14ac:dyDescent="0.25">
      <c r="A40" s="359"/>
      <c r="B40" s="366"/>
      <c r="C40" s="23"/>
      <c r="D40" s="213"/>
      <c r="E40" s="213"/>
      <c r="F40" s="23"/>
      <c r="G40" s="213"/>
      <c r="H40" s="233"/>
      <c r="I40" s="305"/>
      <c r="J40" s="305"/>
      <c r="K40" s="363"/>
      <c r="L40" s="361"/>
      <c r="M40" s="2"/>
    </row>
    <row r="41" spans="1:13" x14ac:dyDescent="0.2">
      <c r="A41" s="81"/>
      <c r="B41" s="82"/>
    </row>
    <row r="42" spans="1:13" x14ac:dyDescent="0.2">
      <c r="A42" s="81"/>
      <c r="B42" s="82"/>
    </row>
    <row r="43" spans="1:13" x14ac:dyDescent="0.2">
      <c r="A43" s="81"/>
      <c r="B43" s="82"/>
    </row>
    <row r="44" spans="1:13" x14ac:dyDescent="0.2">
      <c r="A44" s="81"/>
      <c r="B44" s="82"/>
    </row>
    <row r="45" spans="1:13" x14ac:dyDescent="0.2">
      <c r="A45" s="81"/>
      <c r="B45" s="82"/>
    </row>
    <row r="46" spans="1:13" x14ac:dyDescent="0.2">
      <c r="A46" s="81"/>
      <c r="B46" s="82"/>
    </row>
    <row r="47" spans="1:13" x14ac:dyDescent="0.2">
      <c r="A47" s="81"/>
      <c r="B47" s="82"/>
    </row>
    <row r="48" spans="1:13" x14ac:dyDescent="0.2">
      <c r="A48" s="83"/>
      <c r="B48" s="84"/>
    </row>
    <row r="49" spans="1:2" x14ac:dyDescent="0.2">
      <c r="A49" s="83"/>
      <c r="B49" s="84"/>
    </row>
    <row r="50" spans="1:2" x14ac:dyDescent="0.2">
      <c r="A50" s="83"/>
      <c r="B50" s="84"/>
    </row>
    <row r="51" spans="1:2" x14ac:dyDescent="0.2">
      <c r="A51" s="83"/>
      <c r="B51" s="84"/>
    </row>
    <row r="52" spans="1:2" x14ac:dyDescent="0.2">
      <c r="A52" s="83"/>
      <c r="B52" s="84"/>
    </row>
    <row r="53" spans="1:2" x14ac:dyDescent="0.2">
      <c r="A53" s="83"/>
      <c r="B53" s="84"/>
    </row>
    <row r="54" spans="1:2" x14ac:dyDescent="0.2">
      <c r="A54" s="83"/>
      <c r="B54" s="84"/>
    </row>
    <row r="55" spans="1:2" x14ac:dyDescent="0.2">
      <c r="A55" s="83"/>
      <c r="B55" s="84"/>
    </row>
    <row r="56" spans="1:2" x14ac:dyDescent="0.2">
      <c r="A56" s="83"/>
      <c r="B56" s="84"/>
    </row>
    <row r="57" spans="1:2" x14ac:dyDescent="0.2">
      <c r="A57" s="83"/>
      <c r="B57" s="84"/>
    </row>
    <row r="58" spans="1:2" x14ac:dyDescent="0.2">
      <c r="A58" s="83"/>
      <c r="B58" s="84"/>
    </row>
    <row r="59" spans="1:2" x14ac:dyDescent="0.2">
      <c r="A59" s="83"/>
      <c r="B59" s="84"/>
    </row>
  </sheetData>
  <phoneticPr fontId="24" type="noConversion"/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53"/>
  <sheetViews>
    <sheetView topLeftCell="A8" workbookViewId="0">
      <selection activeCell="P4" sqref="P4"/>
    </sheetView>
  </sheetViews>
  <sheetFormatPr defaultRowHeight="14.25" x14ac:dyDescent="0.2"/>
  <cols>
    <col min="1" max="1" width="10.75" style="53" customWidth="1"/>
    <col min="2" max="2" width="31.5" style="45" customWidth="1"/>
    <col min="3" max="3" width="13" style="46" hidden="1" customWidth="1"/>
    <col min="4" max="4" width="11.875" hidden="1" customWidth="1"/>
    <col min="5" max="5" width="12.75" hidden="1" customWidth="1"/>
    <col min="6" max="6" width="13.5" hidden="1" customWidth="1"/>
    <col min="7" max="7" width="13" hidden="1" customWidth="1"/>
    <col min="8" max="8" width="12" hidden="1" customWidth="1"/>
    <col min="9" max="9" width="18.75" hidden="1" customWidth="1"/>
    <col min="10" max="10" width="13.5" style="46" hidden="1" customWidth="1"/>
    <col min="11" max="11" width="11.75" hidden="1" customWidth="1"/>
    <col min="12" max="12" width="13.75" hidden="1" customWidth="1"/>
    <col min="13" max="13" width="15.25" hidden="1" customWidth="1"/>
    <col min="14" max="14" width="14.75" customWidth="1"/>
    <col min="15" max="15" width="14.125" style="511" customWidth="1"/>
  </cols>
  <sheetData>
    <row r="1" spans="1:14" x14ac:dyDescent="0.2">
      <c r="I1" s="2"/>
      <c r="J1" s="3"/>
    </row>
    <row r="2" spans="1:14" ht="38.25" x14ac:dyDescent="0.2">
      <c r="A2" s="85"/>
      <c r="B2" s="679" t="s">
        <v>17</v>
      </c>
      <c r="C2" s="680" t="s">
        <v>554</v>
      </c>
      <c r="D2" s="404" t="s">
        <v>1351</v>
      </c>
      <c r="E2" s="404" t="s">
        <v>1352</v>
      </c>
      <c r="F2" s="404" t="s">
        <v>1508</v>
      </c>
      <c r="G2" s="404" t="s">
        <v>1494</v>
      </c>
      <c r="H2" s="677" t="s">
        <v>1505</v>
      </c>
      <c r="I2" s="681"/>
      <c r="J2" s="682" t="s">
        <v>1590</v>
      </c>
      <c r="K2" s="44"/>
      <c r="L2" s="404" t="s">
        <v>1568</v>
      </c>
      <c r="M2" s="404" t="s">
        <v>1634</v>
      </c>
      <c r="N2" s="404" t="s">
        <v>1686</v>
      </c>
    </row>
    <row r="3" spans="1:14" x14ac:dyDescent="0.2">
      <c r="A3" s="87"/>
      <c r="B3" s="88"/>
      <c r="C3" s="3"/>
      <c r="D3" s="2"/>
      <c r="E3" s="2"/>
      <c r="F3" s="2"/>
      <c r="G3" s="151"/>
      <c r="H3" s="163"/>
      <c r="I3" s="2"/>
      <c r="J3" s="90"/>
      <c r="K3" s="2"/>
      <c r="L3" s="273"/>
      <c r="M3" s="533"/>
      <c r="N3" s="2"/>
    </row>
    <row r="4" spans="1:14" x14ac:dyDescent="0.2">
      <c r="A4" s="87" t="s">
        <v>770</v>
      </c>
      <c r="B4" s="89" t="s">
        <v>771</v>
      </c>
      <c r="C4" s="3">
        <v>28335.040000000001</v>
      </c>
      <c r="D4" s="151">
        <v>14086.05</v>
      </c>
      <c r="E4" s="151">
        <v>30182.02</v>
      </c>
      <c r="F4" s="3">
        <v>34190</v>
      </c>
      <c r="G4" s="151">
        <v>16069.77</v>
      </c>
      <c r="H4" s="163">
        <v>39690</v>
      </c>
      <c r="I4" s="229"/>
      <c r="J4" s="163">
        <v>39690</v>
      </c>
      <c r="K4" s="3">
        <f>SUM(J4-F4)</f>
        <v>5500</v>
      </c>
      <c r="L4" s="273">
        <v>17245.400000000001</v>
      </c>
      <c r="M4" s="90">
        <f>SUM(J4)*1.03</f>
        <v>40880.700000000004</v>
      </c>
      <c r="N4" s="90">
        <f>SUM(M4)*1.03</f>
        <v>42107.121000000006</v>
      </c>
    </row>
    <row r="5" spans="1:14" x14ac:dyDescent="0.2">
      <c r="A5" s="87" t="s">
        <v>772</v>
      </c>
      <c r="B5" s="89" t="s">
        <v>773</v>
      </c>
      <c r="C5" s="3">
        <v>23580.240000000002</v>
      </c>
      <c r="D5" s="151">
        <v>11478.96</v>
      </c>
      <c r="E5" s="151">
        <v>24915.87</v>
      </c>
      <c r="F5" s="3">
        <v>29597</v>
      </c>
      <c r="G5" s="151">
        <v>11345.73</v>
      </c>
      <c r="H5" s="163">
        <v>31097</v>
      </c>
      <c r="I5" s="229"/>
      <c r="J5" s="163">
        <v>31097</v>
      </c>
      <c r="K5" s="3">
        <f>SUM(J5-F5)</f>
        <v>1500</v>
      </c>
      <c r="L5" s="372">
        <v>15359.72</v>
      </c>
      <c r="M5" s="90">
        <f>SUM(J$5)*1.03</f>
        <v>32029.91</v>
      </c>
      <c r="N5" s="90">
        <f>SUM(M$5)*1.03</f>
        <v>32990.8073</v>
      </c>
    </row>
    <row r="6" spans="1:14" x14ac:dyDescent="0.2">
      <c r="A6" s="87" t="s">
        <v>774</v>
      </c>
      <c r="B6" s="89" t="s">
        <v>775</v>
      </c>
      <c r="C6" s="3"/>
      <c r="D6" s="151">
        <v>0</v>
      </c>
      <c r="E6" s="151"/>
      <c r="F6" s="2">
        <v>0</v>
      </c>
      <c r="G6" s="151">
        <v>0</v>
      </c>
      <c r="H6" s="163"/>
      <c r="I6" s="229"/>
      <c r="J6" s="90"/>
      <c r="K6" s="2"/>
      <c r="L6" s="372">
        <v>0</v>
      </c>
      <c r="M6" s="90">
        <v>0</v>
      </c>
      <c r="N6" s="464"/>
    </row>
    <row r="7" spans="1:14" x14ac:dyDescent="0.2">
      <c r="A7" s="87" t="s">
        <v>776</v>
      </c>
      <c r="B7" s="89" t="s">
        <v>777</v>
      </c>
      <c r="C7" s="3">
        <v>300</v>
      </c>
      <c r="D7" s="151">
        <v>0</v>
      </c>
      <c r="E7" s="151">
        <v>300</v>
      </c>
      <c r="F7" s="151">
        <v>2800</v>
      </c>
      <c r="G7" s="151">
        <v>0</v>
      </c>
      <c r="H7" s="151">
        <v>3281</v>
      </c>
      <c r="I7" s="229"/>
      <c r="J7" s="163">
        <v>3281</v>
      </c>
      <c r="K7" s="3">
        <f>SUM(J7-F7)</f>
        <v>481</v>
      </c>
      <c r="L7" s="363">
        <v>0</v>
      </c>
      <c r="M7" s="90">
        <v>3500</v>
      </c>
      <c r="N7" s="464">
        <v>3500</v>
      </c>
    </row>
    <row r="8" spans="1:14" x14ac:dyDescent="0.2">
      <c r="A8" s="87" t="s">
        <v>778</v>
      </c>
      <c r="B8" s="89" t="s">
        <v>779</v>
      </c>
      <c r="C8" s="3"/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229"/>
      <c r="J8" s="163">
        <v>0</v>
      </c>
      <c r="K8" s="2"/>
      <c r="L8" s="363">
        <v>0</v>
      </c>
      <c r="M8" s="90">
        <v>0</v>
      </c>
      <c r="N8" s="464"/>
    </row>
    <row r="9" spans="1:14" x14ac:dyDescent="0.2">
      <c r="A9" s="87" t="s">
        <v>780</v>
      </c>
      <c r="B9" s="89" t="s">
        <v>218</v>
      </c>
      <c r="C9" s="3">
        <v>1000</v>
      </c>
      <c r="D9" s="151">
        <v>0</v>
      </c>
      <c r="E9" s="151">
        <v>1000</v>
      </c>
      <c r="F9" s="151">
        <v>1000</v>
      </c>
      <c r="G9" s="151">
        <v>0</v>
      </c>
      <c r="H9" s="151">
        <v>1500</v>
      </c>
      <c r="I9" s="229"/>
      <c r="J9" s="163">
        <v>1500</v>
      </c>
      <c r="K9" s="2"/>
      <c r="L9" s="363">
        <v>0</v>
      </c>
      <c r="M9" s="90">
        <v>1500</v>
      </c>
      <c r="N9" s="464">
        <v>1600</v>
      </c>
    </row>
    <row r="10" spans="1:14" x14ac:dyDescent="0.2">
      <c r="A10" s="87" t="s">
        <v>781</v>
      </c>
      <c r="B10" s="89" t="s">
        <v>220</v>
      </c>
      <c r="C10" s="3">
        <v>845</v>
      </c>
      <c r="D10" s="151">
        <v>455</v>
      </c>
      <c r="E10" s="151">
        <v>1025</v>
      </c>
      <c r="F10" s="151">
        <v>1200</v>
      </c>
      <c r="G10" s="151">
        <v>650</v>
      </c>
      <c r="H10" s="151">
        <v>1200</v>
      </c>
      <c r="I10" s="229"/>
      <c r="J10" s="163">
        <v>1200</v>
      </c>
      <c r="K10" s="2"/>
      <c r="L10" s="273">
        <v>650</v>
      </c>
      <c r="M10" s="90">
        <v>1200</v>
      </c>
      <c r="N10" s="542"/>
    </row>
    <row r="11" spans="1:14" x14ac:dyDescent="0.2">
      <c r="A11" s="87" t="s">
        <v>782</v>
      </c>
      <c r="B11" s="89" t="s">
        <v>226</v>
      </c>
      <c r="C11" s="3">
        <v>230</v>
      </c>
      <c r="D11" s="151">
        <v>84.99</v>
      </c>
      <c r="E11" s="151">
        <v>230</v>
      </c>
      <c r="F11" s="151">
        <v>230</v>
      </c>
      <c r="G11" s="151">
        <v>61.02</v>
      </c>
      <c r="H11" s="151">
        <v>230</v>
      </c>
      <c r="I11" s="229"/>
      <c r="J11" s="163">
        <v>230</v>
      </c>
      <c r="K11" s="2"/>
      <c r="L11" s="363">
        <v>82.85</v>
      </c>
      <c r="M11" s="90">
        <v>230</v>
      </c>
      <c r="N11" s="542">
        <v>230</v>
      </c>
    </row>
    <row r="12" spans="1:14" x14ac:dyDescent="0.2">
      <c r="A12" s="87" t="s">
        <v>783</v>
      </c>
      <c r="B12" s="89" t="s">
        <v>228</v>
      </c>
      <c r="C12" s="3">
        <f>SUM($C$4:$C$10)*0.129</f>
        <v>6973.7761200000004</v>
      </c>
      <c r="D12" s="151">
        <v>3076.89</v>
      </c>
      <c r="E12" s="49">
        <f>SUM(E$4:E$10)*0.12</f>
        <v>6890.7467999999999</v>
      </c>
      <c r="F12" s="49">
        <v>7246.2</v>
      </c>
      <c r="G12" s="151">
        <v>3132.21</v>
      </c>
      <c r="H12" s="49">
        <v>7246.2</v>
      </c>
      <c r="I12" s="229"/>
      <c r="J12" s="138" cm="1">
        <f t="array" ref="J12">SUM(J$4:J$7+J9+J$10)*0.099</f>
        <v>8401.9320000000007</v>
      </c>
      <c r="K12" s="49" cm="1">
        <f t="array" ref="K12">SUM(K$4:K$5+K$10)*0.099</f>
        <v>693</v>
      </c>
      <c r="L12" s="363">
        <v>3861.86</v>
      </c>
      <c r="M12" s="138" cm="1">
        <f t="array" ref="M12">SUM(M$4:M$7+M9+M$10)*0.095</f>
        <v>8285.0079500000011</v>
      </c>
      <c r="N12" s="543" cm="1">
        <f t="array" ref="N12">SUM(N$4:N$7+N9+N$10)*0.095</f>
        <v>8074.8031885</v>
      </c>
    </row>
    <row r="13" spans="1:14" x14ac:dyDescent="0.2">
      <c r="A13" s="87" t="s">
        <v>784</v>
      </c>
      <c r="B13" s="89" t="s">
        <v>230</v>
      </c>
      <c r="C13" s="3">
        <f>SUM($C$4:$C$10)*0.0145</f>
        <v>783.87405999999999</v>
      </c>
      <c r="D13" s="151">
        <v>372.98</v>
      </c>
      <c r="E13" s="49">
        <f>SUM(E$4:E$10)*0.0145</f>
        <v>832.63190500000007</v>
      </c>
      <c r="F13" s="49">
        <v>965.51</v>
      </c>
      <c r="G13" s="151">
        <v>416.48</v>
      </c>
      <c r="H13" s="49">
        <v>965.51</v>
      </c>
      <c r="I13" s="229"/>
      <c r="J13" s="138">
        <f>SUM(J$4:J$10)*0.0145</f>
        <v>1113.136</v>
      </c>
      <c r="K13" s="49">
        <f>SUM(K$4:K$9)*0.0145</f>
        <v>108.47450000000001</v>
      </c>
      <c r="L13" s="363">
        <v>504.54</v>
      </c>
      <c r="M13" s="90">
        <v>1113.1400000000001</v>
      </c>
      <c r="N13" s="542">
        <v>1113.1400000000001</v>
      </c>
    </row>
    <row r="14" spans="1:14" x14ac:dyDescent="0.2">
      <c r="A14" s="87" t="s">
        <v>785</v>
      </c>
      <c r="B14" s="89" t="s">
        <v>232</v>
      </c>
      <c r="C14" s="3">
        <f>SUM($C$4:$C$10)*0.062</f>
        <v>3351.7373600000001</v>
      </c>
      <c r="D14" s="151">
        <v>1594.83</v>
      </c>
      <c r="E14" s="49">
        <f>SUM(E$4:E$10)*0.062</f>
        <v>3560.2191800000001</v>
      </c>
      <c r="F14" s="49">
        <v>4128.3900000000003</v>
      </c>
      <c r="G14" s="151">
        <v>1780.93</v>
      </c>
      <c r="H14" s="49">
        <v>4128.3900000000003</v>
      </c>
      <c r="I14" s="229"/>
      <c r="J14" s="138">
        <f>SUM(J$4:J$10)*0.062</f>
        <v>4759.616</v>
      </c>
      <c r="K14" s="49" cm="1">
        <f t="array" ref="K14">SUM(K$4:K$10*0.062)</f>
        <v>463.822</v>
      </c>
      <c r="L14" s="363">
        <v>2157.48</v>
      </c>
      <c r="M14" s="90">
        <v>4759.62</v>
      </c>
      <c r="N14" s="542">
        <v>4759.62</v>
      </c>
    </row>
    <row r="15" spans="1:14" x14ac:dyDescent="0.2">
      <c r="A15" s="87" t="s">
        <v>786</v>
      </c>
      <c r="B15" s="89" t="s">
        <v>234</v>
      </c>
      <c r="C15" s="50">
        <v>8487.5212800000008</v>
      </c>
      <c r="D15" s="151">
        <v>5036.59</v>
      </c>
      <c r="E15" s="151">
        <v>9298.48</v>
      </c>
      <c r="F15" s="151">
        <v>10630</v>
      </c>
      <c r="G15" s="151">
        <v>0</v>
      </c>
      <c r="H15" s="151">
        <v>11305.68</v>
      </c>
      <c r="I15" s="229"/>
      <c r="J15" s="163">
        <v>11305.68</v>
      </c>
      <c r="K15" s="2"/>
      <c r="L15" s="363">
        <v>6123.91</v>
      </c>
      <c r="M15" s="90">
        <v>12108</v>
      </c>
      <c r="N15" s="542">
        <v>25524.48</v>
      </c>
    </row>
    <row r="16" spans="1:14" x14ac:dyDescent="0.2">
      <c r="A16" s="87" t="s">
        <v>787</v>
      </c>
      <c r="B16" s="89" t="s">
        <v>236</v>
      </c>
      <c r="C16" s="3"/>
      <c r="D16" s="151">
        <v>0</v>
      </c>
      <c r="E16" s="151"/>
      <c r="F16" s="151">
        <v>0</v>
      </c>
      <c r="G16" s="151">
        <v>0</v>
      </c>
      <c r="H16" s="151">
        <v>0</v>
      </c>
      <c r="I16" s="229"/>
      <c r="J16" s="163">
        <v>0</v>
      </c>
      <c r="K16" s="2"/>
      <c r="L16" s="363">
        <v>0</v>
      </c>
      <c r="M16" s="90">
        <v>0</v>
      </c>
      <c r="N16" s="464"/>
    </row>
    <row r="17" spans="1:14" x14ac:dyDescent="0.2">
      <c r="A17" s="87" t="s">
        <v>1592</v>
      </c>
      <c r="B17" s="89" t="s">
        <v>1571</v>
      </c>
      <c r="C17" s="3"/>
      <c r="D17" s="151"/>
      <c r="E17" s="151"/>
      <c r="F17" s="151"/>
      <c r="G17" s="151"/>
      <c r="H17" s="151"/>
      <c r="I17" s="229"/>
      <c r="J17" s="163">
        <v>0</v>
      </c>
      <c r="K17" s="2"/>
      <c r="L17" s="363">
        <v>3546.51</v>
      </c>
      <c r="M17" s="90">
        <v>0</v>
      </c>
      <c r="N17" s="464"/>
    </row>
    <row r="18" spans="1:14" x14ac:dyDescent="0.2">
      <c r="A18" s="87" t="s">
        <v>788</v>
      </c>
      <c r="B18" s="89" t="s">
        <v>285</v>
      </c>
      <c r="C18" s="48">
        <v>1900</v>
      </c>
      <c r="D18" s="151">
        <v>1470.45</v>
      </c>
      <c r="E18" s="151">
        <v>2200</v>
      </c>
      <c r="F18" s="151">
        <v>2400</v>
      </c>
      <c r="G18" s="151">
        <v>479.62</v>
      </c>
      <c r="H18" s="151">
        <v>2500</v>
      </c>
      <c r="I18" s="229"/>
      <c r="J18" s="163">
        <v>2500</v>
      </c>
      <c r="K18" s="2"/>
      <c r="L18" s="363">
        <v>1004.68</v>
      </c>
      <c r="M18" s="90">
        <v>2700</v>
      </c>
      <c r="N18" s="464">
        <v>3000</v>
      </c>
    </row>
    <row r="19" spans="1:14" x14ac:dyDescent="0.2">
      <c r="A19" s="87" t="s">
        <v>789</v>
      </c>
      <c r="B19" s="89" t="s">
        <v>790</v>
      </c>
      <c r="C19" s="48">
        <v>0</v>
      </c>
      <c r="D19" s="151">
        <v>0</v>
      </c>
      <c r="E19" s="151"/>
      <c r="F19" s="151">
        <v>0</v>
      </c>
      <c r="G19" s="151">
        <v>0</v>
      </c>
      <c r="H19" s="151">
        <v>0</v>
      </c>
      <c r="I19" s="229"/>
      <c r="J19" s="163">
        <v>0</v>
      </c>
      <c r="K19" s="2"/>
      <c r="L19" s="363"/>
      <c r="M19" s="90">
        <v>0</v>
      </c>
      <c r="N19" s="464"/>
    </row>
    <row r="20" spans="1:14" x14ac:dyDescent="0.2">
      <c r="A20" s="87" t="s">
        <v>791</v>
      </c>
      <c r="B20" s="89" t="s">
        <v>792</v>
      </c>
      <c r="C20" s="48">
        <v>100</v>
      </c>
      <c r="D20" s="151">
        <v>0</v>
      </c>
      <c r="E20" s="151">
        <v>100</v>
      </c>
      <c r="F20" s="151">
        <v>100</v>
      </c>
      <c r="G20" s="151">
        <v>0</v>
      </c>
      <c r="H20" s="151">
        <v>0</v>
      </c>
      <c r="I20" s="229"/>
      <c r="J20" s="163">
        <v>0</v>
      </c>
      <c r="K20" s="2"/>
      <c r="L20" s="363"/>
      <c r="M20" s="90">
        <v>0</v>
      </c>
      <c r="N20" s="464"/>
    </row>
    <row r="21" spans="1:14" x14ac:dyDescent="0.2">
      <c r="A21" s="87" t="s">
        <v>793</v>
      </c>
      <c r="B21" s="89" t="s">
        <v>242</v>
      </c>
      <c r="C21" s="48">
        <v>850</v>
      </c>
      <c r="D21" s="151">
        <v>249.52</v>
      </c>
      <c r="E21" s="151">
        <v>850</v>
      </c>
      <c r="F21" s="151">
        <v>650</v>
      </c>
      <c r="G21" s="151">
        <v>121.1</v>
      </c>
      <c r="H21" s="151">
        <v>650</v>
      </c>
      <c r="I21" s="229"/>
      <c r="J21" s="163">
        <v>650</v>
      </c>
      <c r="K21" s="2"/>
      <c r="L21" s="363">
        <v>130.65</v>
      </c>
      <c r="M21" s="90">
        <v>650</v>
      </c>
      <c r="N21" s="542">
        <v>650</v>
      </c>
    </row>
    <row r="22" spans="1:14" x14ac:dyDescent="0.2">
      <c r="A22" s="87" t="s">
        <v>1527</v>
      </c>
      <c r="B22" s="89" t="s">
        <v>1528</v>
      </c>
      <c r="C22" s="48"/>
      <c r="D22" s="151"/>
      <c r="E22" s="151"/>
      <c r="F22" s="151">
        <v>2000</v>
      </c>
      <c r="G22" s="151">
        <v>0</v>
      </c>
      <c r="H22" s="151"/>
      <c r="I22" s="229"/>
      <c r="J22" s="163"/>
      <c r="K22" s="2"/>
      <c r="L22" s="363"/>
      <c r="M22" s="90">
        <v>0</v>
      </c>
      <c r="N22" s="464"/>
    </row>
    <row r="23" spans="1:14" x14ac:dyDescent="0.2">
      <c r="A23" s="87" t="s">
        <v>794</v>
      </c>
      <c r="B23" s="89" t="s">
        <v>795</v>
      </c>
      <c r="C23" s="48">
        <v>950</v>
      </c>
      <c r="D23" s="151">
        <v>812</v>
      </c>
      <c r="E23" s="151">
        <v>1600</v>
      </c>
      <c r="F23" s="151">
        <v>3400</v>
      </c>
      <c r="G23" s="151">
        <v>1224.25</v>
      </c>
      <c r="H23" s="151">
        <v>3400</v>
      </c>
      <c r="I23" s="229"/>
      <c r="J23" s="163">
        <v>3400</v>
      </c>
      <c r="K23" s="2"/>
      <c r="L23" s="363">
        <v>1531.99</v>
      </c>
      <c r="M23" s="90">
        <v>3700</v>
      </c>
      <c r="N23" s="464">
        <v>4000</v>
      </c>
    </row>
    <row r="24" spans="1:14" x14ac:dyDescent="0.2">
      <c r="A24" s="87" t="s">
        <v>796</v>
      </c>
      <c r="B24" s="89" t="s">
        <v>797</v>
      </c>
      <c r="C24" s="48">
        <v>500</v>
      </c>
      <c r="D24" s="151">
        <v>33.46</v>
      </c>
      <c r="E24" s="151">
        <v>600</v>
      </c>
      <c r="F24" s="151">
        <v>1000</v>
      </c>
      <c r="G24" s="151">
        <v>0</v>
      </c>
      <c r="H24" s="151">
        <v>1000</v>
      </c>
      <c r="I24" s="229"/>
      <c r="J24" s="163">
        <v>1000</v>
      </c>
      <c r="K24" s="2"/>
      <c r="L24" s="363">
        <v>199.66</v>
      </c>
      <c r="M24" s="90">
        <v>1200</v>
      </c>
      <c r="N24" s="464">
        <v>1500</v>
      </c>
    </row>
    <row r="25" spans="1:14" x14ac:dyDescent="0.2">
      <c r="A25" s="87" t="s">
        <v>798</v>
      </c>
      <c r="B25" s="89" t="s">
        <v>250</v>
      </c>
      <c r="C25" s="48">
        <v>2000</v>
      </c>
      <c r="D25" s="151">
        <v>813.5</v>
      </c>
      <c r="E25" s="151">
        <v>2500</v>
      </c>
      <c r="F25" s="151">
        <v>2500</v>
      </c>
      <c r="G25" s="151">
        <v>201.24</v>
      </c>
      <c r="H25" s="151">
        <v>2500</v>
      </c>
      <c r="I25" s="229"/>
      <c r="J25" s="163">
        <v>2500</v>
      </c>
      <c r="K25" s="2"/>
      <c r="L25" s="363">
        <v>1730.56</v>
      </c>
      <c r="M25" s="90">
        <v>4000</v>
      </c>
      <c r="N25" s="464">
        <v>4000</v>
      </c>
    </row>
    <row r="26" spans="1:14" x14ac:dyDescent="0.2">
      <c r="A26" s="87" t="s">
        <v>799</v>
      </c>
      <c r="B26" s="89" t="s">
        <v>329</v>
      </c>
      <c r="C26" s="48">
        <v>300</v>
      </c>
      <c r="D26" s="151">
        <v>76</v>
      </c>
      <c r="E26" s="151">
        <v>300</v>
      </c>
      <c r="F26" s="151">
        <v>300</v>
      </c>
      <c r="G26" s="151">
        <v>113</v>
      </c>
      <c r="H26" s="151">
        <v>300</v>
      </c>
      <c r="I26" s="229"/>
      <c r="J26" s="163">
        <v>300</v>
      </c>
      <c r="K26" s="2"/>
      <c r="L26" s="363">
        <v>236</v>
      </c>
      <c r="M26" s="90">
        <v>300</v>
      </c>
      <c r="N26" s="464">
        <v>350</v>
      </c>
    </row>
    <row r="27" spans="1:14" x14ac:dyDescent="0.2">
      <c r="A27" s="87" t="s">
        <v>800</v>
      </c>
      <c r="B27" s="89" t="s">
        <v>254</v>
      </c>
      <c r="C27" s="48">
        <v>1500</v>
      </c>
      <c r="D27" s="151">
        <v>660.53</v>
      </c>
      <c r="E27" s="151">
        <v>1700</v>
      </c>
      <c r="F27" s="151">
        <v>1700</v>
      </c>
      <c r="G27" s="151">
        <v>0</v>
      </c>
      <c r="H27" s="151">
        <v>1700</v>
      </c>
      <c r="I27" s="229"/>
      <c r="J27" s="163">
        <v>1700</v>
      </c>
      <c r="K27" s="2"/>
      <c r="L27" s="363"/>
      <c r="M27" s="90">
        <v>1700</v>
      </c>
      <c r="N27" s="542">
        <v>250</v>
      </c>
    </row>
    <row r="28" spans="1:14" x14ac:dyDescent="0.2">
      <c r="A28" s="87" t="s">
        <v>800</v>
      </c>
      <c r="B28" s="89" t="s">
        <v>1101</v>
      </c>
      <c r="C28" s="48"/>
      <c r="D28" s="151"/>
      <c r="E28" s="151"/>
      <c r="F28" s="151"/>
      <c r="G28" s="151"/>
      <c r="H28" s="151"/>
      <c r="I28" s="229"/>
      <c r="J28" s="163">
        <v>0</v>
      </c>
      <c r="K28" s="2"/>
      <c r="L28" s="363">
        <v>49.26</v>
      </c>
      <c r="M28" s="90">
        <v>250</v>
      </c>
      <c r="N28" s="542">
        <v>250</v>
      </c>
    </row>
    <row r="29" spans="1:14" x14ac:dyDescent="0.2">
      <c r="A29" s="87" t="s">
        <v>801</v>
      </c>
      <c r="B29" s="89" t="s">
        <v>651</v>
      </c>
      <c r="C29" s="48">
        <v>6000</v>
      </c>
      <c r="D29" s="151">
        <v>2315.13</v>
      </c>
      <c r="E29" s="151">
        <v>6000</v>
      </c>
      <c r="F29" s="151">
        <v>7500</v>
      </c>
      <c r="G29" s="151">
        <v>3576.16</v>
      </c>
      <c r="H29" s="151">
        <v>7500</v>
      </c>
      <c r="I29" s="229"/>
      <c r="J29" s="163">
        <v>7500</v>
      </c>
      <c r="K29" s="2"/>
      <c r="L29" s="363">
        <v>3702.34</v>
      </c>
      <c r="M29" s="90">
        <v>9000</v>
      </c>
      <c r="N29" s="542">
        <v>9000</v>
      </c>
    </row>
    <row r="30" spans="1:14" x14ac:dyDescent="0.2">
      <c r="A30" s="87" t="s">
        <v>802</v>
      </c>
      <c r="B30" s="89" t="s">
        <v>803</v>
      </c>
      <c r="C30" s="48">
        <v>8000</v>
      </c>
      <c r="D30" s="151">
        <v>5787.38</v>
      </c>
      <c r="E30" s="151">
        <v>10000</v>
      </c>
      <c r="F30" s="151">
        <v>11500</v>
      </c>
      <c r="G30" s="151">
        <v>4914.97</v>
      </c>
      <c r="H30" s="151">
        <v>11500</v>
      </c>
      <c r="I30" s="229"/>
      <c r="J30" s="163">
        <v>11500</v>
      </c>
      <c r="K30" s="2"/>
      <c r="L30" s="363">
        <v>6406.05</v>
      </c>
      <c r="M30" s="90">
        <v>12500</v>
      </c>
      <c r="N30" s="464">
        <v>13500</v>
      </c>
    </row>
    <row r="31" spans="1:14" x14ac:dyDescent="0.2">
      <c r="A31" s="87" t="s">
        <v>804</v>
      </c>
      <c r="B31" s="89" t="s">
        <v>805</v>
      </c>
      <c r="C31" s="48">
        <v>1300</v>
      </c>
      <c r="D31" s="151">
        <v>595.99</v>
      </c>
      <c r="E31" s="151">
        <v>1300</v>
      </c>
      <c r="F31" s="151">
        <v>1600</v>
      </c>
      <c r="G31" s="151">
        <v>552.75</v>
      </c>
      <c r="H31" s="151">
        <v>1600</v>
      </c>
      <c r="I31" s="229"/>
      <c r="J31" s="163">
        <v>1600</v>
      </c>
      <c r="K31" s="2"/>
      <c r="L31" s="363">
        <v>509.34</v>
      </c>
      <c r="M31" s="90">
        <v>1600</v>
      </c>
      <c r="N31" s="464">
        <v>1600</v>
      </c>
    </row>
    <row r="32" spans="1:14" x14ac:dyDescent="0.2">
      <c r="A32" s="87" t="s">
        <v>806</v>
      </c>
      <c r="B32" s="89" t="s">
        <v>807</v>
      </c>
      <c r="C32" s="48"/>
      <c r="D32" s="151">
        <v>0</v>
      </c>
      <c r="E32" s="151"/>
      <c r="F32" s="151">
        <v>0</v>
      </c>
      <c r="G32" s="151">
        <v>0</v>
      </c>
      <c r="H32" s="151">
        <v>0</v>
      </c>
      <c r="I32" s="229"/>
      <c r="J32" s="163">
        <v>0</v>
      </c>
      <c r="K32" s="2"/>
      <c r="L32" s="363"/>
      <c r="M32" s="90">
        <v>0</v>
      </c>
      <c r="N32" s="464"/>
    </row>
    <row r="33" spans="1:14" x14ac:dyDescent="0.2">
      <c r="A33" s="87" t="s">
        <v>808</v>
      </c>
      <c r="B33" s="89" t="s">
        <v>809</v>
      </c>
      <c r="C33" s="48">
        <v>100</v>
      </c>
      <c r="D33" s="151">
        <v>0</v>
      </c>
      <c r="E33" s="151">
        <v>100</v>
      </c>
      <c r="F33" s="151">
        <v>100</v>
      </c>
      <c r="G33" s="151">
        <v>0</v>
      </c>
      <c r="H33" s="151">
        <v>100</v>
      </c>
      <c r="I33" s="229"/>
      <c r="J33" s="163">
        <v>100</v>
      </c>
      <c r="K33" s="2"/>
      <c r="L33" s="363"/>
      <c r="M33" s="90">
        <v>100</v>
      </c>
      <c r="N33" s="542">
        <v>100</v>
      </c>
    </row>
    <row r="34" spans="1:14" x14ac:dyDescent="0.2">
      <c r="A34" s="87" t="s">
        <v>810</v>
      </c>
      <c r="B34" s="89" t="s">
        <v>258</v>
      </c>
      <c r="C34" s="10">
        <v>300</v>
      </c>
      <c r="D34" s="151">
        <v>0</v>
      </c>
      <c r="E34" s="151">
        <v>300</v>
      </c>
      <c r="F34" s="151">
        <v>300</v>
      </c>
      <c r="G34" s="151">
        <v>0</v>
      </c>
      <c r="H34" s="151">
        <v>500</v>
      </c>
      <c r="I34" s="229"/>
      <c r="J34" s="163">
        <v>500</v>
      </c>
      <c r="K34" s="2"/>
      <c r="L34" s="363"/>
      <c r="M34" s="90">
        <v>500</v>
      </c>
      <c r="N34" s="542">
        <v>500</v>
      </c>
    </row>
    <row r="35" spans="1:14" x14ac:dyDescent="0.2">
      <c r="A35" s="87" t="s">
        <v>811</v>
      </c>
      <c r="B35" s="89" t="s">
        <v>812</v>
      </c>
      <c r="C35" s="10">
        <v>600</v>
      </c>
      <c r="D35" s="151">
        <v>1000</v>
      </c>
      <c r="E35" s="151">
        <v>1500</v>
      </c>
      <c r="F35" s="151">
        <v>2700</v>
      </c>
      <c r="G35" s="151">
        <v>2700</v>
      </c>
      <c r="H35" s="151">
        <v>2700</v>
      </c>
      <c r="I35" s="229"/>
      <c r="J35" s="163">
        <v>2700</v>
      </c>
      <c r="K35" s="2"/>
      <c r="L35" s="363">
        <v>2700</v>
      </c>
      <c r="M35" s="90">
        <v>2700</v>
      </c>
      <c r="N35" s="464">
        <v>2800</v>
      </c>
    </row>
    <row r="36" spans="1:14" x14ac:dyDescent="0.2">
      <c r="A36" s="87" t="s">
        <v>813</v>
      </c>
      <c r="B36" s="89" t="s">
        <v>814</v>
      </c>
      <c r="C36" s="10"/>
      <c r="D36" s="151"/>
      <c r="E36" s="151"/>
      <c r="F36" s="151"/>
      <c r="G36" s="151">
        <v>3450.75</v>
      </c>
      <c r="H36" s="151"/>
      <c r="I36" s="151">
        <v>3450.75</v>
      </c>
      <c r="J36" s="163"/>
      <c r="K36" s="2"/>
      <c r="L36" s="363"/>
      <c r="M36" s="90">
        <v>0</v>
      </c>
      <c r="N36" s="464"/>
    </row>
    <row r="37" spans="1:14" x14ac:dyDescent="0.2">
      <c r="A37" s="87" t="s">
        <v>815</v>
      </c>
      <c r="B37" s="89" t="s">
        <v>816</v>
      </c>
      <c r="C37" s="48"/>
      <c r="D37" s="151"/>
      <c r="E37" s="151"/>
      <c r="F37" s="151"/>
      <c r="G37" s="151"/>
      <c r="H37" s="151"/>
      <c r="I37" s="229"/>
      <c r="J37" s="163"/>
      <c r="K37" s="2"/>
      <c r="L37" s="363"/>
      <c r="M37" s="90">
        <v>0</v>
      </c>
      <c r="N37" s="464"/>
    </row>
    <row r="38" spans="1:14" x14ac:dyDescent="0.2">
      <c r="A38" s="87" t="s">
        <v>817</v>
      </c>
      <c r="B38" s="89" t="s">
        <v>818</v>
      </c>
      <c r="C38" s="48">
        <v>3000</v>
      </c>
      <c r="D38" s="151">
        <v>1869.72</v>
      </c>
      <c r="E38" s="151">
        <v>4000</v>
      </c>
      <c r="F38" s="151">
        <v>5500</v>
      </c>
      <c r="G38" s="151">
        <v>5500</v>
      </c>
      <c r="H38" s="151">
        <v>6000</v>
      </c>
      <c r="I38" s="229"/>
      <c r="J38" s="163">
        <v>6000</v>
      </c>
      <c r="K38" s="2"/>
      <c r="L38" s="163">
        <v>2742.96</v>
      </c>
      <c r="M38" s="90">
        <v>7000</v>
      </c>
      <c r="N38" s="464">
        <v>8000</v>
      </c>
    </row>
    <row r="39" spans="1:14" x14ac:dyDescent="0.2">
      <c r="A39" s="87" t="s">
        <v>815</v>
      </c>
      <c r="B39" s="89" t="s">
        <v>819</v>
      </c>
      <c r="C39" s="48">
        <v>700</v>
      </c>
      <c r="D39" s="151">
        <v>0</v>
      </c>
      <c r="E39" s="151">
        <v>600</v>
      </c>
      <c r="F39" s="151">
        <v>600</v>
      </c>
      <c r="G39" s="151">
        <v>600</v>
      </c>
      <c r="H39" s="151">
        <v>600</v>
      </c>
      <c r="I39" s="229"/>
      <c r="J39" s="163">
        <v>600</v>
      </c>
      <c r="K39" s="2"/>
      <c r="L39" s="363">
        <v>340</v>
      </c>
      <c r="M39" s="90">
        <v>600</v>
      </c>
      <c r="N39" s="464">
        <v>600</v>
      </c>
    </row>
    <row r="40" spans="1:14" x14ac:dyDescent="0.2">
      <c r="A40" s="87" t="s">
        <v>820</v>
      </c>
      <c r="B40" s="89" t="s">
        <v>821</v>
      </c>
      <c r="C40" s="48"/>
      <c r="D40" s="151">
        <v>0</v>
      </c>
      <c r="E40" s="151"/>
      <c r="F40" s="151">
        <v>0</v>
      </c>
      <c r="G40" s="151">
        <v>0</v>
      </c>
      <c r="H40" s="151">
        <v>0</v>
      </c>
      <c r="I40" s="229"/>
      <c r="J40" s="163">
        <v>0</v>
      </c>
      <c r="K40" s="2"/>
      <c r="L40" s="363"/>
      <c r="M40" s="90">
        <v>0</v>
      </c>
      <c r="N40" s="464"/>
    </row>
    <row r="41" spans="1:14" x14ac:dyDescent="0.2">
      <c r="A41" s="87" t="s">
        <v>822</v>
      </c>
      <c r="B41" s="89" t="s">
        <v>823</v>
      </c>
      <c r="C41" s="48">
        <v>2000</v>
      </c>
      <c r="D41" s="151">
        <v>0</v>
      </c>
      <c r="E41" s="151">
        <v>1000</v>
      </c>
      <c r="F41" s="151">
        <v>1200</v>
      </c>
      <c r="G41" s="151">
        <v>1200</v>
      </c>
      <c r="H41" s="151">
        <v>2000</v>
      </c>
      <c r="I41" s="229"/>
      <c r="J41" s="163">
        <v>2000</v>
      </c>
      <c r="K41" s="2"/>
      <c r="L41" s="363"/>
      <c r="M41" s="90">
        <v>3000</v>
      </c>
      <c r="N41" s="464">
        <v>3250</v>
      </c>
    </row>
    <row r="42" spans="1:14" x14ac:dyDescent="0.2">
      <c r="A42" s="87" t="s">
        <v>824</v>
      </c>
      <c r="B42" s="89" t="s">
        <v>1390</v>
      </c>
      <c r="C42" s="48">
        <v>26000</v>
      </c>
      <c r="D42" s="151">
        <v>0</v>
      </c>
      <c r="E42" s="151">
        <v>2000</v>
      </c>
      <c r="F42" s="151">
        <v>2000</v>
      </c>
      <c r="G42" s="151">
        <v>2000</v>
      </c>
      <c r="H42" s="151">
        <v>2000</v>
      </c>
      <c r="I42" s="229"/>
      <c r="J42" s="163">
        <v>2000</v>
      </c>
      <c r="K42" s="2"/>
      <c r="L42" s="363"/>
      <c r="M42" s="90">
        <v>2000</v>
      </c>
      <c r="N42" s="464">
        <v>2000</v>
      </c>
    </row>
    <row r="43" spans="1:14" x14ac:dyDescent="0.2">
      <c r="A43" s="87"/>
      <c r="B43" s="89" t="s">
        <v>1384</v>
      </c>
      <c r="C43" s="48"/>
      <c r="D43" s="151"/>
      <c r="E43" s="151">
        <v>686</v>
      </c>
      <c r="F43" s="151">
        <v>1200</v>
      </c>
      <c r="G43" s="151">
        <v>1200</v>
      </c>
      <c r="H43" s="151">
        <v>1200</v>
      </c>
      <c r="I43" s="229"/>
      <c r="J43" s="163">
        <v>1200</v>
      </c>
      <c r="K43" s="2"/>
      <c r="L43" s="363"/>
      <c r="M43" s="90">
        <v>3000</v>
      </c>
      <c r="N43" s="464">
        <v>3000</v>
      </c>
    </row>
    <row r="44" spans="1:14" x14ac:dyDescent="0.2">
      <c r="A44" s="87" t="s">
        <v>1529</v>
      </c>
      <c r="B44" s="89" t="s">
        <v>1530</v>
      </c>
      <c r="C44" s="48"/>
      <c r="D44" s="151"/>
      <c r="E44" s="151"/>
      <c r="F44" s="151">
        <v>4000</v>
      </c>
      <c r="G44" s="151">
        <v>3939.47</v>
      </c>
      <c r="H44" s="163"/>
      <c r="I44" s="229"/>
      <c r="J44" s="163"/>
      <c r="K44" s="2"/>
      <c r="L44" s="363"/>
      <c r="M44" s="90"/>
      <c r="N44" s="464"/>
    </row>
    <row r="45" spans="1:14" ht="15" x14ac:dyDescent="0.25">
      <c r="A45" s="85"/>
      <c r="B45" s="88" t="s">
        <v>169</v>
      </c>
      <c r="C45" s="51">
        <f>SUM(C4:C42)</f>
        <v>129987.18882000001</v>
      </c>
      <c r="D45" s="161">
        <f>SUM(D4:D42)</f>
        <v>51869.969999999979</v>
      </c>
      <c r="E45" s="161">
        <f>SUM(E4:E43)</f>
        <v>115570.96788500001</v>
      </c>
      <c r="F45" s="161">
        <f>SUM(F4:F44)</f>
        <v>144237.09999999998</v>
      </c>
      <c r="G45" s="161">
        <f>SUM(G4:G44)</f>
        <v>65229.45</v>
      </c>
      <c r="H45" s="164">
        <f>SUM(H4:H43)</f>
        <v>148393.78</v>
      </c>
      <c r="I45" s="230"/>
      <c r="J45" s="164">
        <f>SUM(J4:J43)</f>
        <v>150328.364</v>
      </c>
      <c r="K45" s="164">
        <f>SUM(K4:K43)</f>
        <v>8746.2965000000004</v>
      </c>
      <c r="L45" s="164">
        <f>SUM(L4:L43)</f>
        <v>70815.760000000024</v>
      </c>
      <c r="M45" s="142">
        <f>SUM(M4:M44)</f>
        <v>162106.37794999999</v>
      </c>
      <c r="N45" s="565">
        <f>SUM(N4:N44)</f>
        <v>178249.97148849998</v>
      </c>
    </row>
    <row r="46" spans="1:14" x14ac:dyDescent="0.2">
      <c r="A46" s="87"/>
      <c r="B46" s="89"/>
      <c r="C46" s="3"/>
      <c r="D46" s="151"/>
      <c r="E46" s="151"/>
      <c r="F46" s="2"/>
      <c r="G46" s="151"/>
      <c r="H46" s="163"/>
      <c r="I46" s="2"/>
      <c r="J46" s="163"/>
      <c r="K46" s="2"/>
      <c r="L46" s="363"/>
      <c r="M46" s="533"/>
      <c r="N46" s="2"/>
    </row>
    <row r="47" spans="1:14" x14ac:dyDescent="0.2">
      <c r="A47"/>
      <c r="B47"/>
      <c r="C47"/>
    </row>
    <row r="48" spans="1:14" x14ac:dyDescent="0.2">
      <c r="A48"/>
      <c r="B48"/>
      <c r="C48"/>
    </row>
    <row r="49" spans="1:3" x14ac:dyDescent="0.2">
      <c r="A49"/>
      <c r="B49"/>
      <c r="C49"/>
    </row>
    <row r="50" spans="1:3" x14ac:dyDescent="0.2">
      <c r="A50" s="92"/>
      <c r="B50" s="93"/>
    </row>
    <row r="51" spans="1:3" x14ac:dyDescent="0.2">
      <c r="A51" s="92"/>
      <c r="B51" s="93"/>
    </row>
    <row r="52" spans="1:3" x14ac:dyDescent="0.2">
      <c r="A52" s="92"/>
      <c r="B52" s="93"/>
    </row>
    <row r="53" spans="1:3" x14ac:dyDescent="0.2">
      <c r="A53" s="92"/>
      <c r="B53" s="93"/>
    </row>
  </sheetData>
  <phoneticPr fontId="24" type="noConversion"/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6"/>
  <sheetViews>
    <sheetView topLeftCell="A2" zoomScale="98" zoomScaleNormal="98" workbookViewId="0">
      <selection activeCell="B2" sqref="B2:L2"/>
    </sheetView>
  </sheetViews>
  <sheetFormatPr defaultRowHeight="14.25" x14ac:dyDescent="0.2"/>
  <cols>
    <col min="1" max="1" width="11.75" style="475" customWidth="1"/>
    <col min="2" max="2" width="30.75" style="475" customWidth="1"/>
    <col min="3" max="3" width="12.75" style="172" hidden="1" customWidth="1"/>
    <col min="4" max="4" width="12.5" hidden="1" customWidth="1"/>
    <col min="5" max="5" width="13" hidden="1" customWidth="1"/>
    <col min="6" max="6" width="12.875" hidden="1" customWidth="1"/>
    <col min="7" max="7" width="12.75" hidden="1" customWidth="1"/>
    <col min="8" max="8" width="14.75" hidden="1" customWidth="1"/>
    <col min="9" max="9" width="12.75" hidden="1" customWidth="1"/>
    <col min="10" max="10" width="13.875" hidden="1" customWidth="1"/>
    <col min="11" max="11" width="12.875" hidden="1" customWidth="1"/>
    <col min="12" max="12" width="12.5" customWidth="1"/>
  </cols>
  <sheetData>
    <row r="1" spans="1:12" x14ac:dyDescent="0.2">
      <c r="I1" s="2"/>
      <c r="J1" s="2"/>
    </row>
    <row r="2" spans="1:12" ht="38.25" x14ac:dyDescent="0.2">
      <c r="A2" s="11"/>
      <c r="B2" s="31" t="s">
        <v>18</v>
      </c>
      <c r="C2" s="676" t="s">
        <v>304</v>
      </c>
      <c r="D2" s="404" t="s">
        <v>1351</v>
      </c>
      <c r="E2" s="677" t="s">
        <v>1354</v>
      </c>
      <c r="F2" s="404" t="s">
        <v>1509</v>
      </c>
      <c r="G2" s="404" t="s">
        <v>1494</v>
      </c>
      <c r="H2" s="677" t="s">
        <v>1505</v>
      </c>
      <c r="I2" s="678" t="s">
        <v>1567</v>
      </c>
      <c r="J2" s="404" t="s">
        <v>1568</v>
      </c>
      <c r="K2" s="404" t="s">
        <v>1634</v>
      </c>
      <c r="L2" s="404" t="s">
        <v>1686</v>
      </c>
    </row>
    <row r="3" spans="1:12" x14ac:dyDescent="0.2">
      <c r="A3" s="13"/>
      <c r="B3" s="14"/>
      <c r="C3" s="49"/>
      <c r="D3" s="2"/>
      <c r="E3" s="156"/>
      <c r="F3" s="2"/>
      <c r="G3" s="180"/>
      <c r="H3" s="232"/>
      <c r="I3" s="2"/>
      <c r="J3" s="273"/>
      <c r="K3" s="533"/>
      <c r="L3" s="2"/>
    </row>
    <row r="4" spans="1:12" x14ac:dyDescent="0.2">
      <c r="A4" s="476" t="s">
        <v>826</v>
      </c>
      <c r="B4" s="58" t="s">
        <v>827</v>
      </c>
      <c r="C4" s="171">
        <v>1000</v>
      </c>
      <c r="D4" s="477">
        <v>11394.84</v>
      </c>
      <c r="E4" s="167">
        <v>1000</v>
      </c>
      <c r="F4" s="171">
        <v>10000</v>
      </c>
      <c r="G4" s="180">
        <v>7898.46</v>
      </c>
      <c r="H4" s="171">
        <v>10000</v>
      </c>
      <c r="I4" s="171">
        <v>10000</v>
      </c>
      <c r="J4" s="49">
        <v>11368.68</v>
      </c>
      <c r="K4" s="167">
        <v>10000</v>
      </c>
      <c r="L4" s="167">
        <v>10000</v>
      </c>
    </row>
    <row r="5" spans="1:12" x14ac:dyDescent="0.2">
      <c r="A5" s="476" t="s">
        <v>828</v>
      </c>
      <c r="B5" s="58" t="s">
        <v>829</v>
      </c>
      <c r="C5" s="25">
        <v>200</v>
      </c>
      <c r="D5" s="477">
        <v>0</v>
      </c>
      <c r="E5" s="168">
        <v>200</v>
      </c>
      <c r="F5" s="25">
        <v>0</v>
      </c>
      <c r="G5" s="180">
        <v>0</v>
      </c>
      <c r="H5" s="25">
        <v>0</v>
      </c>
      <c r="I5" s="25">
        <v>0</v>
      </c>
      <c r="J5" s="49">
        <v>0</v>
      </c>
      <c r="K5" s="168">
        <v>0</v>
      </c>
      <c r="L5" s="168">
        <v>0</v>
      </c>
    </row>
    <row r="6" spans="1:12" x14ac:dyDescent="0.2">
      <c r="A6" s="476" t="s">
        <v>830</v>
      </c>
      <c r="B6" s="58" t="s">
        <v>228</v>
      </c>
      <c r="C6" s="25">
        <v>0</v>
      </c>
      <c r="D6" s="477">
        <v>0</v>
      </c>
      <c r="E6" s="168">
        <v>0</v>
      </c>
      <c r="F6" s="25">
        <v>0</v>
      </c>
      <c r="G6" s="180">
        <v>0</v>
      </c>
      <c r="H6" s="25">
        <v>0</v>
      </c>
      <c r="I6" s="25">
        <v>0</v>
      </c>
      <c r="J6" s="49">
        <v>0</v>
      </c>
      <c r="K6" s="168">
        <v>0</v>
      </c>
      <c r="L6" s="168">
        <v>0</v>
      </c>
    </row>
    <row r="7" spans="1:12" x14ac:dyDescent="0.2">
      <c r="A7" s="476" t="s">
        <v>831</v>
      </c>
      <c r="B7" s="58" t="s">
        <v>230</v>
      </c>
      <c r="C7" s="25">
        <v>0</v>
      </c>
      <c r="D7" s="477">
        <v>0</v>
      </c>
      <c r="E7" s="168">
        <v>0</v>
      </c>
      <c r="F7" s="25">
        <v>0</v>
      </c>
      <c r="G7" s="180">
        <v>5.26</v>
      </c>
      <c r="H7" s="25">
        <v>0</v>
      </c>
      <c r="I7" s="25">
        <v>0</v>
      </c>
      <c r="J7" s="288">
        <v>15.93</v>
      </c>
      <c r="K7" s="168">
        <v>0</v>
      </c>
      <c r="L7" s="168">
        <v>0</v>
      </c>
    </row>
    <row r="8" spans="1:12" x14ac:dyDescent="0.2">
      <c r="A8" s="476" t="s">
        <v>832</v>
      </c>
      <c r="B8" s="58" t="s">
        <v>232</v>
      </c>
      <c r="C8" s="25">
        <v>0</v>
      </c>
      <c r="D8" s="477">
        <v>0</v>
      </c>
      <c r="E8" s="168">
        <v>0</v>
      </c>
      <c r="F8" s="25">
        <v>0</v>
      </c>
      <c r="G8" s="180">
        <v>22.47</v>
      </c>
      <c r="H8" s="25">
        <v>0</v>
      </c>
      <c r="I8" s="25">
        <v>0</v>
      </c>
      <c r="J8" s="288">
        <v>68.099999999999994</v>
      </c>
      <c r="K8" s="168">
        <v>0</v>
      </c>
      <c r="L8" s="168">
        <v>0</v>
      </c>
    </row>
    <row r="9" spans="1:12" x14ac:dyDescent="0.2">
      <c r="A9" s="476" t="s">
        <v>833</v>
      </c>
      <c r="B9" s="58" t="s">
        <v>834</v>
      </c>
      <c r="C9" s="478">
        <v>300</v>
      </c>
      <c r="D9" s="477">
        <v>125</v>
      </c>
      <c r="E9" s="168">
        <v>300</v>
      </c>
      <c r="F9" s="25">
        <v>2000</v>
      </c>
      <c r="G9" s="180">
        <v>97.5</v>
      </c>
      <c r="H9" s="25">
        <v>2000</v>
      </c>
      <c r="I9" s="25">
        <v>2000</v>
      </c>
      <c r="J9" s="288">
        <v>110</v>
      </c>
      <c r="K9" s="168">
        <v>2000</v>
      </c>
      <c r="L9" s="168">
        <v>2000</v>
      </c>
    </row>
    <row r="10" spans="1:12" x14ac:dyDescent="0.2">
      <c r="A10" s="476" t="s">
        <v>835</v>
      </c>
      <c r="B10" s="58" t="s">
        <v>836</v>
      </c>
      <c r="C10" s="478">
        <v>12000</v>
      </c>
      <c r="D10" s="477">
        <v>0</v>
      </c>
      <c r="E10" s="168">
        <v>35000</v>
      </c>
      <c r="F10" s="25">
        <v>5000</v>
      </c>
      <c r="G10" s="180">
        <v>0</v>
      </c>
      <c r="H10" s="25">
        <v>5000</v>
      </c>
      <c r="I10" s="25">
        <v>5000</v>
      </c>
      <c r="J10" s="49">
        <v>0</v>
      </c>
      <c r="K10" s="168">
        <v>5000</v>
      </c>
      <c r="L10" s="168">
        <v>5000</v>
      </c>
    </row>
    <row r="11" spans="1:12" x14ac:dyDescent="0.2">
      <c r="A11" s="476" t="s">
        <v>837</v>
      </c>
      <c r="B11" s="58" t="s">
        <v>838</v>
      </c>
      <c r="C11" s="478">
        <v>3000</v>
      </c>
      <c r="D11" s="477">
        <v>986.54</v>
      </c>
      <c r="E11" s="168">
        <v>3000</v>
      </c>
      <c r="F11" s="25">
        <v>1500</v>
      </c>
      <c r="G11" s="180">
        <v>0</v>
      </c>
      <c r="H11" s="25">
        <v>1500</v>
      </c>
      <c r="I11" s="25">
        <v>1500</v>
      </c>
      <c r="J11" s="288">
        <v>0</v>
      </c>
      <c r="K11" s="168">
        <v>1500</v>
      </c>
      <c r="L11" s="168">
        <v>1500</v>
      </c>
    </row>
    <row r="12" spans="1:12" x14ac:dyDescent="0.2">
      <c r="A12" s="476" t="s">
        <v>839</v>
      </c>
      <c r="B12" s="58" t="s">
        <v>840</v>
      </c>
      <c r="C12" s="478">
        <v>0</v>
      </c>
      <c r="D12" s="477">
        <v>47455.08</v>
      </c>
      <c r="E12" s="168">
        <v>0</v>
      </c>
      <c r="F12" s="25">
        <v>0</v>
      </c>
      <c r="G12" s="180">
        <v>10192.75</v>
      </c>
      <c r="H12" s="25">
        <v>0</v>
      </c>
      <c r="I12" s="25">
        <v>0</v>
      </c>
      <c r="J12" s="288">
        <v>62519.77</v>
      </c>
      <c r="K12" s="168">
        <v>0</v>
      </c>
      <c r="L12" s="168">
        <v>0</v>
      </c>
    </row>
    <row r="13" spans="1:12" x14ac:dyDescent="0.2">
      <c r="A13" s="476" t="s">
        <v>841</v>
      </c>
      <c r="B13" s="58" t="s">
        <v>244</v>
      </c>
      <c r="C13" s="478">
        <v>1000</v>
      </c>
      <c r="D13" s="477">
        <v>412.75</v>
      </c>
      <c r="E13" s="168">
        <v>1000</v>
      </c>
      <c r="F13" s="25">
        <v>2000</v>
      </c>
      <c r="G13" s="180">
        <v>362.85</v>
      </c>
      <c r="H13" s="25">
        <v>2000</v>
      </c>
      <c r="I13" s="25">
        <v>2000</v>
      </c>
      <c r="J13" s="288">
        <v>68.7</v>
      </c>
      <c r="K13" s="168">
        <v>2000</v>
      </c>
      <c r="L13" s="168">
        <v>2000</v>
      </c>
    </row>
    <row r="14" spans="1:12" x14ac:dyDescent="0.2">
      <c r="A14" s="476" t="s">
        <v>842</v>
      </c>
      <c r="B14" s="58" t="s">
        <v>843</v>
      </c>
      <c r="C14" s="478">
        <v>200</v>
      </c>
      <c r="D14" s="477">
        <v>0</v>
      </c>
      <c r="E14" s="168">
        <v>200</v>
      </c>
      <c r="F14" s="25">
        <v>0</v>
      </c>
      <c r="G14" s="180">
        <v>0</v>
      </c>
      <c r="H14" s="25">
        <v>0</v>
      </c>
      <c r="I14" s="25">
        <v>0</v>
      </c>
      <c r="J14" s="288">
        <v>0</v>
      </c>
      <c r="K14" s="168">
        <v>0</v>
      </c>
      <c r="L14" s="168">
        <v>0</v>
      </c>
    </row>
    <row r="15" spans="1:12" x14ac:dyDescent="0.2">
      <c r="A15" s="476" t="s">
        <v>844</v>
      </c>
      <c r="B15" s="58" t="s">
        <v>845</v>
      </c>
      <c r="C15" s="25">
        <v>22500</v>
      </c>
      <c r="D15" s="477">
        <v>21900</v>
      </c>
      <c r="E15" s="168">
        <v>22500</v>
      </c>
      <c r="F15" s="25">
        <v>27000</v>
      </c>
      <c r="G15" s="180">
        <v>24300</v>
      </c>
      <c r="H15" s="25">
        <v>27000</v>
      </c>
      <c r="I15" s="25">
        <v>27000</v>
      </c>
      <c r="J15" s="288">
        <v>0</v>
      </c>
      <c r="K15" s="168">
        <v>28000</v>
      </c>
      <c r="L15" s="168">
        <v>32000</v>
      </c>
    </row>
    <row r="16" spans="1:12" x14ac:dyDescent="0.2">
      <c r="A16" s="476" t="s">
        <v>846</v>
      </c>
      <c r="B16" s="58" t="s">
        <v>847</v>
      </c>
      <c r="C16" s="25">
        <v>61213</v>
      </c>
      <c r="D16" s="477">
        <v>34698.5</v>
      </c>
      <c r="E16" s="479">
        <v>71937</v>
      </c>
      <c r="F16" s="477">
        <v>112360.31</v>
      </c>
      <c r="G16" s="180">
        <v>63247.86</v>
      </c>
      <c r="H16" s="477">
        <v>112360.31</v>
      </c>
      <c r="I16" s="477">
        <v>112360.31</v>
      </c>
      <c r="J16" s="288">
        <v>56521.34</v>
      </c>
      <c r="K16" s="479">
        <v>101350.55</v>
      </c>
      <c r="L16" s="479">
        <v>112680.16</v>
      </c>
    </row>
    <row r="17" spans="1:12" x14ac:dyDescent="0.2">
      <c r="A17" s="476" t="s">
        <v>848</v>
      </c>
      <c r="B17" s="58" t="s">
        <v>849</v>
      </c>
      <c r="C17" s="25">
        <v>700</v>
      </c>
      <c r="D17" s="477">
        <v>667.59</v>
      </c>
      <c r="E17" s="168">
        <v>900</v>
      </c>
      <c r="F17" s="25">
        <v>900</v>
      </c>
      <c r="G17" s="180">
        <v>667.59</v>
      </c>
      <c r="H17" s="25">
        <v>900</v>
      </c>
      <c r="I17" s="25">
        <v>900</v>
      </c>
      <c r="J17" s="288">
        <v>592.54</v>
      </c>
      <c r="K17" s="168">
        <v>900</v>
      </c>
      <c r="L17" s="168">
        <v>900</v>
      </c>
    </row>
    <row r="18" spans="1:12" x14ac:dyDescent="0.2">
      <c r="A18" s="476" t="s">
        <v>850</v>
      </c>
      <c r="B18" s="58" t="s">
        <v>851</v>
      </c>
      <c r="C18" s="478">
        <v>9000</v>
      </c>
      <c r="D18" s="477">
        <v>4784.5</v>
      </c>
      <c r="E18" s="168">
        <v>11000</v>
      </c>
      <c r="F18" s="25">
        <v>6000</v>
      </c>
      <c r="G18" s="180">
        <v>4433.72</v>
      </c>
      <c r="H18" s="25">
        <v>6000</v>
      </c>
      <c r="I18" s="25">
        <v>6000</v>
      </c>
      <c r="J18" s="288">
        <v>4206.4799999999996</v>
      </c>
      <c r="K18" s="168">
        <v>6000</v>
      </c>
      <c r="L18" s="168">
        <v>11000</v>
      </c>
    </row>
    <row r="19" spans="1:12" x14ac:dyDescent="0.2">
      <c r="A19" s="476" t="s">
        <v>852</v>
      </c>
      <c r="B19" s="58" t="s">
        <v>853</v>
      </c>
      <c r="C19" s="478"/>
      <c r="D19" s="477">
        <v>1000</v>
      </c>
      <c r="E19" s="138">
        <v>24643.5</v>
      </c>
      <c r="F19" s="49">
        <v>30000</v>
      </c>
      <c r="G19" s="180">
        <v>30000</v>
      </c>
      <c r="H19" s="49">
        <v>30000</v>
      </c>
      <c r="I19" s="49">
        <v>30000</v>
      </c>
      <c r="J19" s="288">
        <v>0</v>
      </c>
      <c r="K19" s="138">
        <v>35000</v>
      </c>
      <c r="L19" s="138">
        <v>35000</v>
      </c>
    </row>
    <row r="20" spans="1:12" x14ac:dyDescent="0.2">
      <c r="A20" s="476" t="s">
        <v>1364</v>
      </c>
      <c r="B20" s="58" t="s">
        <v>1365</v>
      </c>
      <c r="C20" s="478"/>
      <c r="D20" s="477">
        <v>72159</v>
      </c>
      <c r="E20" s="138">
        <v>110000</v>
      </c>
      <c r="F20" s="49">
        <v>80000</v>
      </c>
      <c r="G20" s="180">
        <v>15309</v>
      </c>
      <c r="H20" s="49">
        <v>80000</v>
      </c>
      <c r="I20" s="49">
        <v>80000</v>
      </c>
      <c r="J20" s="288">
        <v>0</v>
      </c>
    </row>
    <row r="21" spans="1:12" x14ac:dyDescent="0.2">
      <c r="A21" s="476" t="s">
        <v>854</v>
      </c>
      <c r="B21" s="58" t="s">
        <v>1366</v>
      </c>
      <c r="C21" s="25">
        <v>111934</v>
      </c>
      <c r="D21" s="477">
        <v>0</v>
      </c>
      <c r="E21" s="138">
        <v>0</v>
      </c>
      <c r="F21" s="49">
        <v>0</v>
      </c>
      <c r="G21" s="180"/>
      <c r="H21" s="49">
        <v>0</v>
      </c>
      <c r="I21" s="2"/>
      <c r="J21" s="288">
        <v>0</v>
      </c>
      <c r="K21" s="138">
        <v>90000</v>
      </c>
      <c r="L21" s="138">
        <v>90000</v>
      </c>
    </row>
    <row r="22" spans="1:12" x14ac:dyDescent="0.2">
      <c r="A22" s="476" t="s">
        <v>1367</v>
      </c>
      <c r="B22" s="58" t="s">
        <v>1370</v>
      </c>
      <c r="C22" s="25"/>
      <c r="D22" s="477">
        <v>0</v>
      </c>
      <c r="E22" s="138">
        <v>0</v>
      </c>
      <c r="F22" s="49">
        <v>0</v>
      </c>
      <c r="G22" s="180"/>
      <c r="H22" s="49">
        <v>0</v>
      </c>
      <c r="I22" s="2"/>
      <c r="J22" s="288">
        <v>0</v>
      </c>
      <c r="K22" s="138">
        <v>20000</v>
      </c>
      <c r="L22" s="138">
        <v>20000</v>
      </c>
    </row>
    <row r="23" spans="1:12" x14ac:dyDescent="0.2">
      <c r="A23" s="476" t="s">
        <v>1368</v>
      </c>
      <c r="B23" s="58" t="s">
        <v>1371</v>
      </c>
      <c r="C23" s="25"/>
      <c r="D23" s="477"/>
      <c r="E23" s="138">
        <v>0</v>
      </c>
      <c r="F23" s="49">
        <v>0</v>
      </c>
      <c r="G23" s="180"/>
      <c r="H23" s="49">
        <v>0</v>
      </c>
      <c r="I23" s="2"/>
      <c r="J23" s="288">
        <v>0</v>
      </c>
      <c r="K23" s="138">
        <v>45000</v>
      </c>
      <c r="L23" s="138">
        <v>45000</v>
      </c>
    </row>
    <row r="24" spans="1:12" x14ac:dyDescent="0.2">
      <c r="A24" s="476" t="s">
        <v>1369</v>
      </c>
      <c r="B24" s="58" t="s">
        <v>1372</v>
      </c>
      <c r="C24" s="25"/>
      <c r="D24" s="477">
        <v>0</v>
      </c>
      <c r="E24" s="138">
        <v>0</v>
      </c>
      <c r="F24" s="49">
        <v>0</v>
      </c>
      <c r="G24" s="180"/>
      <c r="H24" s="49">
        <v>0</v>
      </c>
      <c r="I24" s="2"/>
      <c r="J24" s="288">
        <v>0</v>
      </c>
      <c r="K24" s="138"/>
      <c r="L24" s="138"/>
    </row>
    <row r="25" spans="1:12" x14ac:dyDescent="0.2">
      <c r="A25" s="476" t="s">
        <v>855</v>
      </c>
      <c r="B25" s="58" t="s">
        <v>856</v>
      </c>
      <c r="C25" s="478">
        <v>7500</v>
      </c>
      <c r="D25" s="477">
        <v>2377.38</v>
      </c>
      <c r="E25" s="168">
        <v>7500</v>
      </c>
      <c r="F25" s="25">
        <v>15000</v>
      </c>
      <c r="G25" s="180">
        <v>4240</v>
      </c>
      <c r="H25" s="25">
        <v>15000</v>
      </c>
      <c r="I25" s="25">
        <v>15000</v>
      </c>
      <c r="J25" s="288">
        <v>5554.97</v>
      </c>
      <c r="K25" s="168">
        <v>15000</v>
      </c>
      <c r="L25" s="168">
        <v>15000</v>
      </c>
    </row>
    <row r="26" spans="1:12" x14ac:dyDescent="0.2">
      <c r="A26" s="476" t="s">
        <v>857</v>
      </c>
      <c r="B26" s="58" t="s">
        <v>858</v>
      </c>
      <c r="C26" s="478">
        <v>9000</v>
      </c>
      <c r="D26" s="477">
        <v>2950</v>
      </c>
      <c r="E26" s="168">
        <v>9000</v>
      </c>
      <c r="F26" s="25">
        <v>18000</v>
      </c>
      <c r="G26" s="180">
        <v>2450</v>
      </c>
      <c r="H26" s="25">
        <v>18000</v>
      </c>
      <c r="I26" s="25">
        <v>18000</v>
      </c>
      <c r="J26" s="288">
        <v>16720</v>
      </c>
      <c r="K26" s="168">
        <v>21000</v>
      </c>
      <c r="L26" s="168">
        <v>21000</v>
      </c>
    </row>
    <row r="27" spans="1:12" x14ac:dyDescent="0.2">
      <c r="A27" s="476" t="s">
        <v>859</v>
      </c>
      <c r="B27" s="58" t="s">
        <v>860</v>
      </c>
      <c r="C27" s="478">
        <v>10000</v>
      </c>
      <c r="D27" s="477">
        <v>0</v>
      </c>
      <c r="E27" s="479">
        <v>7500</v>
      </c>
      <c r="F27" s="477">
        <v>7500</v>
      </c>
      <c r="G27" s="180"/>
      <c r="H27" s="477">
        <v>7500</v>
      </c>
      <c r="I27" s="477">
        <v>7500</v>
      </c>
      <c r="J27" s="288">
        <v>0</v>
      </c>
      <c r="K27" s="479">
        <v>7500</v>
      </c>
      <c r="L27" s="479">
        <v>7500</v>
      </c>
    </row>
    <row r="28" spans="1:12" x14ac:dyDescent="0.2">
      <c r="A28" s="476" t="s">
        <v>861</v>
      </c>
      <c r="B28" s="58" t="s">
        <v>862</v>
      </c>
      <c r="C28" s="478">
        <v>7500</v>
      </c>
      <c r="D28" s="477">
        <v>1613.85</v>
      </c>
      <c r="E28" s="168">
        <v>5000</v>
      </c>
      <c r="F28" s="25">
        <v>15000</v>
      </c>
      <c r="G28" s="180">
        <v>8385</v>
      </c>
      <c r="H28" s="25">
        <v>15000</v>
      </c>
      <c r="I28" s="25">
        <v>15000</v>
      </c>
      <c r="J28" s="288">
        <v>11712</v>
      </c>
      <c r="K28" s="168">
        <v>15000</v>
      </c>
      <c r="L28" s="168">
        <v>15000</v>
      </c>
    </row>
    <row r="29" spans="1:12" x14ac:dyDescent="0.2">
      <c r="A29" s="476" t="s">
        <v>863</v>
      </c>
      <c r="B29" s="58" t="s">
        <v>864</v>
      </c>
      <c r="C29" s="478">
        <v>6000</v>
      </c>
      <c r="D29" s="477">
        <v>2110.25</v>
      </c>
      <c r="E29" s="168">
        <v>6000</v>
      </c>
      <c r="F29" s="25">
        <v>6500</v>
      </c>
      <c r="G29" s="180">
        <v>2185.48</v>
      </c>
      <c r="H29" s="25">
        <v>6500</v>
      </c>
      <c r="I29" s="25">
        <v>6500</v>
      </c>
      <c r="J29" s="288">
        <v>2080</v>
      </c>
      <c r="K29" s="168">
        <v>6500</v>
      </c>
      <c r="L29" s="168">
        <v>6500</v>
      </c>
    </row>
    <row r="30" spans="1:12" x14ac:dyDescent="0.2">
      <c r="A30" s="476" t="s">
        <v>865</v>
      </c>
      <c r="B30" s="58" t="s">
        <v>866</v>
      </c>
      <c r="C30" s="25">
        <v>0</v>
      </c>
      <c r="D30" s="477">
        <v>5003.8999999999996</v>
      </c>
      <c r="E30" s="479"/>
      <c r="F30" s="477">
        <v>0</v>
      </c>
      <c r="G30" s="180">
        <v>23692.89</v>
      </c>
      <c r="H30" s="477">
        <v>0</v>
      </c>
      <c r="I30" s="2"/>
      <c r="J30" s="288">
        <v>35440.44</v>
      </c>
      <c r="K30" s="138"/>
      <c r="L30" s="138"/>
    </row>
    <row r="31" spans="1:12" ht="28.5" x14ac:dyDescent="0.2">
      <c r="A31" s="476" t="s">
        <v>867</v>
      </c>
      <c r="B31" s="480" t="s">
        <v>868</v>
      </c>
      <c r="C31" s="25">
        <v>0</v>
      </c>
      <c r="D31" s="477">
        <v>0</v>
      </c>
      <c r="E31" s="479"/>
      <c r="F31" s="477">
        <v>15000</v>
      </c>
      <c r="G31" s="180">
        <v>26813.15</v>
      </c>
      <c r="H31" s="477">
        <v>15000</v>
      </c>
      <c r="I31" s="477">
        <v>15000</v>
      </c>
      <c r="J31" s="288">
        <v>33843.31</v>
      </c>
      <c r="K31" s="479">
        <v>20000</v>
      </c>
      <c r="L31" s="479">
        <v>21000</v>
      </c>
    </row>
    <row r="32" spans="1:12" x14ac:dyDescent="0.2">
      <c r="A32" s="476" t="s">
        <v>869</v>
      </c>
      <c r="B32" s="58" t="s">
        <v>870</v>
      </c>
      <c r="C32" s="478">
        <v>20000</v>
      </c>
      <c r="D32" s="477">
        <v>0</v>
      </c>
      <c r="E32" s="138">
        <v>10000</v>
      </c>
      <c r="F32" s="49">
        <v>10000</v>
      </c>
      <c r="G32" s="180">
        <v>65.22</v>
      </c>
      <c r="H32" s="49">
        <v>10000</v>
      </c>
      <c r="I32" s="49">
        <v>10000</v>
      </c>
      <c r="J32" s="288">
        <v>0</v>
      </c>
      <c r="K32" s="138">
        <v>10000</v>
      </c>
      <c r="L32" s="138">
        <v>10000</v>
      </c>
    </row>
    <row r="33" spans="1:12" x14ac:dyDescent="0.2">
      <c r="A33" s="476" t="s">
        <v>871</v>
      </c>
      <c r="B33" s="58" t="s">
        <v>872</v>
      </c>
      <c r="C33" s="478">
        <v>1000</v>
      </c>
      <c r="D33" s="477">
        <v>0</v>
      </c>
      <c r="E33" s="138">
        <v>1000</v>
      </c>
      <c r="F33" s="49">
        <v>1000</v>
      </c>
      <c r="G33" s="180"/>
      <c r="H33" s="49">
        <v>1000</v>
      </c>
      <c r="I33" s="49">
        <v>1000</v>
      </c>
      <c r="J33" s="288">
        <v>0</v>
      </c>
      <c r="K33" s="138">
        <v>1000</v>
      </c>
      <c r="L33" s="138">
        <v>1000</v>
      </c>
    </row>
    <row r="34" spans="1:12" x14ac:dyDescent="0.2">
      <c r="A34" s="476" t="s">
        <v>873</v>
      </c>
      <c r="B34" s="58" t="s">
        <v>874</v>
      </c>
      <c r="C34" s="25">
        <v>49869.57</v>
      </c>
      <c r="D34" s="477">
        <v>0</v>
      </c>
      <c r="E34" s="138">
        <v>0</v>
      </c>
      <c r="F34" s="49">
        <v>67519.240000000005</v>
      </c>
      <c r="G34" s="180">
        <v>2500</v>
      </c>
      <c r="H34" s="49">
        <v>0</v>
      </c>
      <c r="I34" s="49">
        <v>73127.95</v>
      </c>
      <c r="J34" s="288">
        <v>9348.27</v>
      </c>
      <c r="K34" s="138">
        <v>91308.77</v>
      </c>
      <c r="L34" s="138">
        <v>81983.58</v>
      </c>
    </row>
    <row r="35" spans="1:12" x14ac:dyDescent="0.2">
      <c r="A35" s="476" t="s">
        <v>875</v>
      </c>
      <c r="B35" s="58" t="s">
        <v>876</v>
      </c>
      <c r="C35" s="478">
        <v>2000</v>
      </c>
      <c r="D35" s="477">
        <v>170</v>
      </c>
      <c r="E35" s="138">
        <v>2000</v>
      </c>
      <c r="F35" s="49">
        <v>2000</v>
      </c>
      <c r="G35" s="180">
        <v>144</v>
      </c>
      <c r="H35" s="49">
        <v>2000</v>
      </c>
      <c r="I35" s="49">
        <v>2000</v>
      </c>
      <c r="J35" s="288">
        <v>0</v>
      </c>
      <c r="K35" s="138">
        <v>2000</v>
      </c>
      <c r="L35" s="138">
        <v>2000</v>
      </c>
    </row>
    <row r="36" spans="1:12" x14ac:dyDescent="0.2">
      <c r="A36" s="476" t="s">
        <v>877</v>
      </c>
      <c r="B36" s="58" t="s">
        <v>878</v>
      </c>
      <c r="C36" s="25">
        <v>0</v>
      </c>
      <c r="D36" s="477">
        <v>0</v>
      </c>
      <c r="E36" s="138"/>
      <c r="F36" s="49">
        <v>0</v>
      </c>
      <c r="G36" s="180">
        <v>0</v>
      </c>
      <c r="H36" s="49">
        <v>0</v>
      </c>
      <c r="I36" s="49">
        <v>0</v>
      </c>
      <c r="J36" s="288">
        <v>0</v>
      </c>
      <c r="K36" s="138">
        <v>0</v>
      </c>
      <c r="L36" s="138">
        <v>0</v>
      </c>
    </row>
    <row r="37" spans="1:12" x14ac:dyDescent="0.2">
      <c r="A37" s="476" t="s">
        <v>879</v>
      </c>
      <c r="B37" s="58" t="s">
        <v>880</v>
      </c>
      <c r="C37" s="25">
        <v>0</v>
      </c>
      <c r="D37" s="477">
        <v>0</v>
      </c>
      <c r="E37" s="138"/>
      <c r="F37" s="49">
        <v>0</v>
      </c>
      <c r="G37" s="180">
        <v>0</v>
      </c>
      <c r="H37" s="49">
        <v>0</v>
      </c>
      <c r="I37" s="49">
        <v>0</v>
      </c>
      <c r="J37" s="288">
        <v>0</v>
      </c>
      <c r="K37" s="138">
        <v>0</v>
      </c>
      <c r="L37" s="138">
        <v>0</v>
      </c>
    </row>
    <row r="38" spans="1:12" x14ac:dyDescent="0.2">
      <c r="A38" s="476" t="s">
        <v>1593</v>
      </c>
      <c r="B38" s="58" t="s">
        <v>258</v>
      </c>
      <c r="C38" s="25"/>
      <c r="D38" s="477"/>
      <c r="E38" s="138"/>
      <c r="F38" s="49"/>
      <c r="G38" s="180"/>
      <c r="H38" s="49"/>
      <c r="I38" s="49"/>
      <c r="J38" s="369">
        <v>647.20000000000005</v>
      </c>
      <c r="K38" s="138">
        <v>750</v>
      </c>
      <c r="L38" s="138">
        <v>750</v>
      </c>
    </row>
    <row r="39" spans="1:12" x14ac:dyDescent="0.2">
      <c r="A39" s="476" t="s">
        <v>881</v>
      </c>
      <c r="B39" s="58" t="s">
        <v>882</v>
      </c>
      <c r="C39" s="25">
        <v>0</v>
      </c>
      <c r="D39" s="477">
        <v>0</v>
      </c>
      <c r="E39" s="138"/>
      <c r="F39" s="49">
        <v>0</v>
      </c>
      <c r="G39" s="180">
        <v>0</v>
      </c>
      <c r="H39" s="49">
        <v>0</v>
      </c>
      <c r="I39" s="49">
        <v>0</v>
      </c>
      <c r="J39" s="232">
        <v>0</v>
      </c>
      <c r="K39" s="138">
        <v>0</v>
      </c>
      <c r="L39" s="138">
        <v>0</v>
      </c>
    </row>
    <row r="40" spans="1:12" x14ac:dyDescent="0.2">
      <c r="A40" s="476" t="s">
        <v>883</v>
      </c>
      <c r="B40" s="58" t="s">
        <v>884</v>
      </c>
      <c r="C40" s="478">
        <v>750</v>
      </c>
      <c r="D40" s="477">
        <v>0</v>
      </c>
      <c r="E40" s="138">
        <v>750</v>
      </c>
      <c r="F40" s="49">
        <v>750</v>
      </c>
      <c r="G40" s="180">
        <v>0</v>
      </c>
      <c r="H40" s="49">
        <v>750</v>
      </c>
      <c r="I40" s="49">
        <v>750</v>
      </c>
      <c r="J40" s="288">
        <v>0</v>
      </c>
      <c r="K40" s="138">
        <v>750</v>
      </c>
      <c r="L40" s="138">
        <v>750</v>
      </c>
    </row>
    <row r="41" spans="1:12" hidden="1" x14ac:dyDescent="0.2">
      <c r="A41" s="476" t="s">
        <v>885</v>
      </c>
      <c r="B41" s="58" t="s">
        <v>886</v>
      </c>
      <c r="C41" s="478"/>
      <c r="D41" s="477">
        <v>0</v>
      </c>
      <c r="E41" s="138"/>
      <c r="F41" s="49"/>
      <c r="G41" s="180"/>
      <c r="H41" s="49"/>
      <c r="I41" s="49"/>
      <c r="J41" s="288"/>
      <c r="K41" s="138"/>
      <c r="L41" s="138"/>
    </row>
    <row r="42" spans="1:12" x14ac:dyDescent="0.2">
      <c r="A42" s="476" t="s">
        <v>885</v>
      </c>
      <c r="B42" s="58" t="s">
        <v>1404</v>
      </c>
      <c r="C42" s="478"/>
      <c r="D42" s="477"/>
      <c r="E42" s="138"/>
      <c r="F42" s="49">
        <v>1500</v>
      </c>
      <c r="G42" s="180">
        <v>0</v>
      </c>
      <c r="H42" s="49">
        <v>1500</v>
      </c>
      <c r="I42" s="49">
        <v>4500</v>
      </c>
      <c r="J42" s="288">
        <v>0</v>
      </c>
      <c r="K42" s="138">
        <v>4500</v>
      </c>
      <c r="L42" s="138">
        <v>4500</v>
      </c>
    </row>
    <row r="43" spans="1:12" x14ac:dyDescent="0.2">
      <c r="A43" s="476" t="s">
        <v>887</v>
      </c>
      <c r="B43" s="58" t="s">
        <v>888</v>
      </c>
      <c r="C43" s="478">
        <v>2000</v>
      </c>
      <c r="D43" s="477">
        <v>0</v>
      </c>
      <c r="E43" s="138">
        <v>2000</v>
      </c>
      <c r="F43" s="49">
        <v>2000</v>
      </c>
      <c r="G43" s="180">
        <v>0</v>
      </c>
      <c r="H43" s="49">
        <v>2000</v>
      </c>
      <c r="I43" s="49">
        <v>2000</v>
      </c>
      <c r="J43" s="288">
        <v>0</v>
      </c>
      <c r="K43" s="138">
        <v>2000</v>
      </c>
      <c r="L43" s="138">
        <v>2000</v>
      </c>
    </row>
    <row r="44" spans="1:12" x14ac:dyDescent="0.2">
      <c r="A44" s="476" t="s">
        <v>889</v>
      </c>
      <c r="B44" s="58" t="s">
        <v>890</v>
      </c>
      <c r="C44" s="25"/>
      <c r="D44" s="477">
        <v>0</v>
      </c>
      <c r="E44" s="138">
        <v>500</v>
      </c>
      <c r="F44" s="49">
        <v>2000</v>
      </c>
      <c r="G44" s="180">
        <v>0</v>
      </c>
      <c r="H44" s="49">
        <v>2000</v>
      </c>
      <c r="I44" s="49">
        <v>2000</v>
      </c>
      <c r="J44" s="288">
        <v>0</v>
      </c>
      <c r="K44" s="138">
        <v>2000</v>
      </c>
      <c r="L44" s="138">
        <v>2000</v>
      </c>
    </row>
    <row r="45" spans="1:12" x14ac:dyDescent="0.2">
      <c r="A45" s="476" t="s">
        <v>1406</v>
      </c>
      <c r="B45" s="58" t="s">
        <v>1407</v>
      </c>
      <c r="C45" s="25"/>
      <c r="D45" s="477"/>
      <c r="E45" s="138"/>
      <c r="F45" s="49">
        <v>0</v>
      </c>
      <c r="G45" s="180">
        <v>0</v>
      </c>
      <c r="H45" s="49">
        <v>0</v>
      </c>
      <c r="I45" s="49">
        <v>0</v>
      </c>
      <c r="J45" s="288">
        <v>0</v>
      </c>
      <c r="K45" s="138">
        <v>0</v>
      </c>
      <c r="L45" s="138">
        <v>0</v>
      </c>
    </row>
    <row r="46" spans="1:12" x14ac:dyDescent="0.2">
      <c r="A46" s="476" t="s">
        <v>891</v>
      </c>
      <c r="B46" s="58" t="s">
        <v>892</v>
      </c>
      <c r="C46" s="25">
        <v>30000</v>
      </c>
      <c r="D46" s="477">
        <v>0</v>
      </c>
      <c r="E46" s="138">
        <v>15000</v>
      </c>
      <c r="F46" s="49">
        <v>26790</v>
      </c>
      <c r="G46" s="180">
        <v>26790</v>
      </c>
      <c r="H46" s="49">
        <v>26790</v>
      </c>
      <c r="I46" s="49">
        <v>26790</v>
      </c>
      <c r="J46" s="232">
        <v>14575</v>
      </c>
      <c r="K46" s="138">
        <v>26790</v>
      </c>
      <c r="L46" s="138">
        <v>26790</v>
      </c>
    </row>
    <row r="47" spans="1:12" x14ac:dyDescent="0.2">
      <c r="A47" s="476" t="s">
        <v>893</v>
      </c>
      <c r="B47" s="58" t="s">
        <v>894</v>
      </c>
      <c r="C47" s="25"/>
      <c r="D47" s="477">
        <v>0</v>
      </c>
      <c r="E47" s="138"/>
      <c r="F47" s="49">
        <v>0</v>
      </c>
      <c r="G47" s="180">
        <v>0</v>
      </c>
      <c r="H47" s="49">
        <v>0</v>
      </c>
      <c r="I47" s="49">
        <v>0</v>
      </c>
      <c r="J47" s="49">
        <v>0</v>
      </c>
      <c r="K47" s="138">
        <v>0</v>
      </c>
      <c r="L47" s="138">
        <v>0</v>
      </c>
    </row>
    <row r="48" spans="1:12" x14ac:dyDescent="0.2">
      <c r="A48" s="476" t="s">
        <v>895</v>
      </c>
      <c r="B48" s="58" t="s">
        <v>896</v>
      </c>
      <c r="C48" s="25">
        <v>500</v>
      </c>
      <c r="D48" s="477">
        <v>154.13</v>
      </c>
      <c r="E48" s="138">
        <v>500</v>
      </c>
      <c r="F48" s="49">
        <v>500</v>
      </c>
      <c r="G48" s="180">
        <v>50</v>
      </c>
      <c r="H48" s="49">
        <v>500</v>
      </c>
      <c r="I48" s="49">
        <v>500</v>
      </c>
      <c r="J48" s="49">
        <v>145</v>
      </c>
      <c r="K48" s="138">
        <v>500</v>
      </c>
      <c r="L48" s="138">
        <v>500</v>
      </c>
    </row>
    <row r="49" spans="1:12" x14ac:dyDescent="0.2">
      <c r="A49" s="476" t="s">
        <v>897</v>
      </c>
      <c r="B49" s="58" t="s">
        <v>898</v>
      </c>
      <c r="C49" s="25">
        <v>600</v>
      </c>
      <c r="D49" s="477">
        <v>0</v>
      </c>
      <c r="E49" s="138">
        <v>600</v>
      </c>
      <c r="F49" s="49">
        <v>600</v>
      </c>
      <c r="G49" s="180">
        <v>0</v>
      </c>
      <c r="H49" s="49">
        <v>600</v>
      </c>
      <c r="I49" s="49">
        <v>600</v>
      </c>
      <c r="J49" s="49">
        <v>0</v>
      </c>
      <c r="K49" s="138">
        <v>600</v>
      </c>
      <c r="L49" s="138">
        <v>600</v>
      </c>
    </row>
    <row r="50" spans="1:12" x14ac:dyDescent="0.2">
      <c r="A50" s="476" t="s">
        <v>899</v>
      </c>
      <c r="B50" s="58" t="s">
        <v>900</v>
      </c>
      <c r="C50" s="25">
        <v>0</v>
      </c>
      <c r="D50" s="477">
        <v>0</v>
      </c>
      <c r="E50" s="138"/>
      <c r="F50" s="49"/>
      <c r="G50" s="180">
        <v>0</v>
      </c>
      <c r="H50" s="49"/>
      <c r="I50" s="49"/>
      <c r="J50" s="49">
        <v>0</v>
      </c>
      <c r="K50" s="138"/>
      <c r="L50" s="138"/>
    </row>
    <row r="51" spans="1:12" x14ac:dyDescent="0.2">
      <c r="A51" s="476" t="s">
        <v>901</v>
      </c>
      <c r="B51" s="58" t="s">
        <v>902</v>
      </c>
      <c r="C51" s="25" t="s">
        <v>206</v>
      </c>
      <c r="D51" s="477">
        <v>0</v>
      </c>
      <c r="E51" s="138"/>
      <c r="F51" s="49">
        <v>4500</v>
      </c>
      <c r="G51" s="180">
        <v>0</v>
      </c>
      <c r="H51" s="49">
        <v>4500</v>
      </c>
      <c r="I51" s="49">
        <v>4500</v>
      </c>
      <c r="J51" s="49">
        <v>1607.9</v>
      </c>
      <c r="K51" s="138">
        <v>1000</v>
      </c>
      <c r="L51" s="138">
        <v>1000</v>
      </c>
    </row>
    <row r="52" spans="1:12" x14ac:dyDescent="0.2">
      <c r="A52" s="476" t="s">
        <v>903</v>
      </c>
      <c r="B52" s="58" t="s">
        <v>1531</v>
      </c>
      <c r="C52" s="25">
        <v>1050</v>
      </c>
      <c r="D52" s="477">
        <v>1100</v>
      </c>
      <c r="E52" s="138">
        <v>550</v>
      </c>
      <c r="F52" s="49">
        <v>1550</v>
      </c>
      <c r="G52" s="180">
        <v>1550</v>
      </c>
      <c r="H52" s="49">
        <v>1550</v>
      </c>
      <c r="I52" s="49">
        <v>1550</v>
      </c>
      <c r="J52" s="49">
        <v>1550</v>
      </c>
      <c r="K52" s="138">
        <v>2000</v>
      </c>
      <c r="L52" s="138">
        <v>2500</v>
      </c>
    </row>
    <row r="53" spans="1:12" x14ac:dyDescent="0.2">
      <c r="A53" s="476" t="s">
        <v>904</v>
      </c>
      <c r="B53" s="58" t="s">
        <v>1618</v>
      </c>
      <c r="C53" s="25">
        <v>15000</v>
      </c>
      <c r="D53" s="477">
        <v>10898.41</v>
      </c>
      <c r="E53" s="138">
        <v>25000</v>
      </c>
      <c r="F53" s="49">
        <v>15000</v>
      </c>
      <c r="G53" s="180">
        <v>1053</v>
      </c>
      <c r="H53" s="49">
        <v>15000</v>
      </c>
      <c r="I53" s="49">
        <v>15000</v>
      </c>
      <c r="J53" s="49">
        <v>0</v>
      </c>
      <c r="K53" s="138">
        <v>20000</v>
      </c>
      <c r="L53" s="138">
        <v>20000</v>
      </c>
    </row>
    <row r="54" spans="1:12" x14ac:dyDescent="0.2">
      <c r="A54" s="476" t="s">
        <v>905</v>
      </c>
      <c r="B54" s="58" t="s">
        <v>1386</v>
      </c>
      <c r="C54" s="25">
        <v>43657</v>
      </c>
      <c r="D54" s="477"/>
      <c r="E54" s="138">
        <v>25592</v>
      </c>
      <c r="F54" s="49">
        <v>23000</v>
      </c>
      <c r="G54" s="180">
        <v>0</v>
      </c>
      <c r="H54" s="49"/>
      <c r="I54" s="49"/>
      <c r="J54" s="49">
        <v>0</v>
      </c>
      <c r="K54" s="138"/>
      <c r="L54" s="49"/>
    </row>
    <row r="55" spans="1:12" x14ac:dyDescent="0.2">
      <c r="A55" s="476" t="s">
        <v>906</v>
      </c>
      <c r="B55" s="58" t="s">
        <v>907</v>
      </c>
      <c r="C55" s="25">
        <v>75000</v>
      </c>
      <c r="D55" s="477"/>
      <c r="E55" s="138"/>
      <c r="F55" s="49">
        <v>0</v>
      </c>
      <c r="G55" s="180">
        <v>0</v>
      </c>
      <c r="H55" s="49">
        <v>0</v>
      </c>
      <c r="I55" s="49">
        <v>0</v>
      </c>
      <c r="J55" s="49">
        <v>0</v>
      </c>
      <c r="K55" s="138">
        <v>0</v>
      </c>
      <c r="L55" s="49">
        <v>0</v>
      </c>
    </row>
    <row r="56" spans="1:12" x14ac:dyDescent="0.2">
      <c r="A56" s="476" t="s">
        <v>1405</v>
      </c>
      <c r="B56" s="58" t="s">
        <v>1384</v>
      </c>
      <c r="C56" s="25"/>
      <c r="D56" s="477"/>
      <c r="E56" s="138"/>
      <c r="F56" s="49">
        <v>0</v>
      </c>
      <c r="G56" s="180">
        <v>0</v>
      </c>
      <c r="H56" s="49">
        <v>0</v>
      </c>
      <c r="I56" s="49">
        <v>5000</v>
      </c>
      <c r="J56" s="49">
        <v>0</v>
      </c>
      <c r="K56" s="138">
        <v>5000</v>
      </c>
      <c r="L56" s="49">
        <v>5000</v>
      </c>
    </row>
    <row r="57" spans="1:12" x14ac:dyDescent="0.2">
      <c r="A57" s="476" t="s">
        <v>1453</v>
      </c>
      <c r="B57" s="58" t="s">
        <v>1454</v>
      </c>
      <c r="C57" s="25"/>
      <c r="D57" s="477"/>
      <c r="E57" s="138"/>
      <c r="F57" s="49">
        <v>2500</v>
      </c>
      <c r="G57" s="180">
        <v>2575</v>
      </c>
      <c r="H57" s="49">
        <v>2500</v>
      </c>
      <c r="I57" s="49">
        <v>7500</v>
      </c>
      <c r="J57" s="49">
        <v>0</v>
      </c>
      <c r="K57" s="138">
        <v>7500</v>
      </c>
      <c r="L57" s="49">
        <v>7500</v>
      </c>
    </row>
    <row r="58" spans="1:12" x14ac:dyDescent="0.2">
      <c r="A58" s="476" t="s">
        <v>1481</v>
      </c>
      <c r="B58" s="58" t="s">
        <v>1482</v>
      </c>
      <c r="C58" s="25"/>
      <c r="D58" s="477"/>
      <c r="E58" s="138"/>
      <c r="F58" s="49">
        <v>0</v>
      </c>
      <c r="G58" s="180">
        <v>0</v>
      </c>
      <c r="H58" s="49">
        <v>0</v>
      </c>
      <c r="I58" s="49">
        <v>0</v>
      </c>
      <c r="J58" s="49">
        <v>0</v>
      </c>
      <c r="L58" s="2"/>
    </row>
    <row r="59" spans="1:12" x14ac:dyDescent="0.2">
      <c r="A59" s="476"/>
      <c r="B59" s="58" t="s">
        <v>228</v>
      </c>
      <c r="C59" s="25"/>
      <c r="D59" s="477"/>
      <c r="E59" s="138"/>
      <c r="F59" s="49"/>
      <c r="G59" s="180"/>
      <c r="H59" s="49"/>
      <c r="I59" s="49"/>
      <c r="J59" s="49"/>
      <c r="K59" s="138">
        <v>48934.68</v>
      </c>
      <c r="L59" s="49">
        <v>0</v>
      </c>
    </row>
    <row r="60" spans="1:12" ht="15" x14ac:dyDescent="0.25">
      <c r="A60" s="55"/>
      <c r="B60" s="57" t="s">
        <v>169</v>
      </c>
      <c r="C60" s="169">
        <f>SUM(C4:C55)</f>
        <v>504473.57</v>
      </c>
      <c r="D60" s="267">
        <f>SUM(D4:D55)</f>
        <v>221961.72</v>
      </c>
      <c r="E60" s="157">
        <f>SUM(E4:E55)</f>
        <v>400172.5</v>
      </c>
      <c r="F60" s="146">
        <f>SUM(F4:F58)</f>
        <v>514969.55</v>
      </c>
      <c r="G60" s="198">
        <f>SUM(G4:G58)</f>
        <v>259031.2</v>
      </c>
      <c r="H60" s="146">
        <f>SUM(H4:H58)</f>
        <v>424450.31</v>
      </c>
      <c r="I60" s="146">
        <f>SUM(I4:I58)</f>
        <v>510578.26</v>
      </c>
      <c r="J60" s="146">
        <f>SUM(J4:J58)</f>
        <v>268695.63</v>
      </c>
      <c r="K60" s="157">
        <f>SUM(K4:K59)</f>
        <v>658384</v>
      </c>
      <c r="L60" s="146">
        <f>SUM(L4:L59)</f>
        <v>621953.74</v>
      </c>
    </row>
    <row r="61" spans="1:12" x14ac:dyDescent="0.2">
      <c r="A61" s="170"/>
      <c r="B61" s="170"/>
      <c r="C61" s="49"/>
      <c r="D61" s="477"/>
      <c r="E61" s="479"/>
      <c r="F61" s="2"/>
      <c r="G61" s="180"/>
      <c r="H61" s="2"/>
      <c r="I61" s="2"/>
      <c r="J61" s="49"/>
      <c r="K61" s="138"/>
      <c r="L61" s="2"/>
    </row>
    <row r="62" spans="1:12" x14ac:dyDescent="0.2">
      <c r="A62" s="170"/>
      <c r="B62" s="170"/>
      <c r="C62" s="49"/>
      <c r="D62" s="477"/>
      <c r="E62" s="479"/>
      <c r="F62" s="2"/>
      <c r="G62" s="180"/>
      <c r="H62" s="2"/>
      <c r="I62" s="2"/>
      <c r="J62" s="49"/>
      <c r="K62" s="138"/>
      <c r="L62" s="2"/>
    </row>
    <row r="63" spans="1:12" x14ac:dyDescent="0.2">
      <c r="A63" s="16"/>
      <c r="B63" s="16"/>
      <c r="C63" s="49"/>
      <c r="D63" s="477"/>
      <c r="E63" s="479"/>
      <c r="F63" s="2"/>
      <c r="G63" s="180"/>
      <c r="H63" s="2"/>
      <c r="I63" s="2"/>
      <c r="J63" s="49"/>
      <c r="K63" s="138"/>
      <c r="L63" s="2"/>
    </row>
    <row r="64" spans="1:12" x14ac:dyDescent="0.2">
      <c r="D64" s="481"/>
      <c r="E64" s="481"/>
    </row>
    <row r="65" spans="4:5" x14ac:dyDescent="0.2">
      <c r="D65" s="481"/>
      <c r="E65" s="481"/>
    </row>
    <row r="66" spans="4:5" x14ac:dyDescent="0.2">
      <c r="D66" s="481"/>
      <c r="E66" s="481"/>
    </row>
  </sheetData>
  <phoneticPr fontId="24" type="noConversion"/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5"/>
  <sheetViews>
    <sheetView workbookViewId="0">
      <selection activeCell="K1" sqref="K1:K1048576"/>
    </sheetView>
  </sheetViews>
  <sheetFormatPr defaultRowHeight="14.25" x14ac:dyDescent="0.2"/>
  <cols>
    <col min="1" max="1" width="10.5" style="80" customWidth="1"/>
    <col min="2" max="2" width="23.5" customWidth="1"/>
    <col min="3" max="3" width="11.75" hidden="1" customWidth="1"/>
    <col min="4" max="4" width="11.5" hidden="1" customWidth="1"/>
    <col min="5" max="5" width="12.75" hidden="1" customWidth="1"/>
    <col min="6" max="6" width="10.875" hidden="1" customWidth="1"/>
    <col min="7" max="7" width="12.375" hidden="1" customWidth="1"/>
    <col min="8" max="8" width="12.75" hidden="1" customWidth="1"/>
    <col min="9" max="10" width="10.375" hidden="1" customWidth="1"/>
    <col min="11" max="11" width="12.375" hidden="1" customWidth="1"/>
    <col min="12" max="12" width="15.375" customWidth="1"/>
  </cols>
  <sheetData>
    <row r="1" spans="1:12" ht="60" x14ac:dyDescent="0.25">
      <c r="A1" s="94"/>
      <c r="B1" s="95" t="s">
        <v>19</v>
      </c>
      <c r="C1" s="20" t="s">
        <v>678</v>
      </c>
      <c r="D1" s="47" t="s">
        <v>1351</v>
      </c>
      <c r="E1" s="162" t="s">
        <v>1352</v>
      </c>
      <c r="F1" s="143" t="s">
        <v>1508</v>
      </c>
      <c r="G1" s="143" t="s">
        <v>1494</v>
      </c>
      <c r="H1" s="143" t="s">
        <v>1505</v>
      </c>
      <c r="I1" s="47" t="s">
        <v>1587</v>
      </c>
      <c r="J1" s="276" t="s">
        <v>1568</v>
      </c>
      <c r="K1" s="276" t="s">
        <v>1634</v>
      </c>
      <c r="L1" s="276" t="s">
        <v>1686</v>
      </c>
    </row>
    <row r="2" spans="1:12" x14ac:dyDescent="0.2">
      <c r="A2" s="96"/>
      <c r="B2" s="97"/>
      <c r="C2" s="2"/>
      <c r="D2" s="151"/>
      <c r="E2" s="163"/>
      <c r="F2" s="2"/>
      <c r="G2" s="151"/>
      <c r="H2" s="151"/>
      <c r="I2" s="2"/>
      <c r="J2" s="2"/>
      <c r="K2" s="2"/>
      <c r="L2" s="2"/>
    </row>
    <row r="3" spans="1:12" x14ac:dyDescent="0.2">
      <c r="A3" s="96" t="s">
        <v>908</v>
      </c>
      <c r="B3" s="98" t="s">
        <v>240</v>
      </c>
      <c r="C3" s="99">
        <v>1000</v>
      </c>
      <c r="D3" s="151">
        <v>0</v>
      </c>
      <c r="E3" s="158">
        <v>600</v>
      </c>
      <c r="F3" s="99">
        <v>600</v>
      </c>
      <c r="G3" s="151">
        <v>39.99</v>
      </c>
      <c r="H3" s="99">
        <v>600</v>
      </c>
      <c r="I3" s="99">
        <v>600</v>
      </c>
      <c r="J3" s="99">
        <v>81.77</v>
      </c>
      <c r="K3" s="99">
        <v>600</v>
      </c>
      <c r="L3" s="99">
        <v>600</v>
      </c>
    </row>
    <row r="4" spans="1:12" x14ac:dyDescent="0.2">
      <c r="A4" s="96" t="s">
        <v>909</v>
      </c>
      <c r="B4" s="98" t="s">
        <v>910</v>
      </c>
      <c r="C4" s="99">
        <v>1600</v>
      </c>
      <c r="D4" s="151">
        <v>391.79</v>
      </c>
      <c r="E4" s="158">
        <v>1600</v>
      </c>
      <c r="F4" s="99">
        <v>1600</v>
      </c>
      <c r="G4" s="151">
        <v>0</v>
      </c>
      <c r="H4" s="99">
        <v>1600</v>
      </c>
      <c r="I4" s="99">
        <v>1600</v>
      </c>
      <c r="J4" s="99">
        <v>0</v>
      </c>
      <c r="K4" s="99">
        <v>250</v>
      </c>
      <c r="L4" s="99">
        <v>250</v>
      </c>
    </row>
    <row r="5" spans="1:12" x14ac:dyDescent="0.2">
      <c r="A5" s="96" t="s">
        <v>911</v>
      </c>
      <c r="B5" s="98" t="s">
        <v>657</v>
      </c>
      <c r="C5" s="99">
        <v>0</v>
      </c>
      <c r="D5" s="151"/>
      <c r="E5" s="158">
        <v>0</v>
      </c>
      <c r="F5" s="99"/>
      <c r="G5" s="151">
        <v>0</v>
      </c>
      <c r="H5" s="99"/>
      <c r="I5" s="99"/>
      <c r="J5" s="99">
        <v>0</v>
      </c>
      <c r="K5" s="99"/>
      <c r="L5" s="99"/>
    </row>
    <row r="6" spans="1:12" x14ac:dyDescent="0.2">
      <c r="A6" s="96" t="s">
        <v>912</v>
      </c>
      <c r="B6" s="98" t="s">
        <v>119</v>
      </c>
      <c r="C6" s="99">
        <v>200</v>
      </c>
      <c r="D6" s="151">
        <v>0</v>
      </c>
      <c r="E6" s="158">
        <v>200</v>
      </c>
      <c r="F6" s="99">
        <v>200</v>
      </c>
      <c r="G6" s="151">
        <v>0</v>
      </c>
      <c r="H6" s="99">
        <v>200</v>
      </c>
      <c r="I6" s="99">
        <v>200</v>
      </c>
      <c r="J6" s="99">
        <v>0</v>
      </c>
      <c r="K6" s="99">
        <v>200</v>
      </c>
      <c r="L6" s="99">
        <v>200</v>
      </c>
    </row>
    <row r="7" spans="1:12" x14ac:dyDescent="0.2">
      <c r="A7" s="96" t="s">
        <v>913</v>
      </c>
      <c r="B7" s="98" t="s">
        <v>914</v>
      </c>
      <c r="C7" s="99">
        <v>1500</v>
      </c>
      <c r="D7" s="151">
        <v>742</v>
      </c>
      <c r="E7" s="158">
        <v>1500</v>
      </c>
      <c r="F7" s="99">
        <v>1500</v>
      </c>
      <c r="G7" s="151">
        <v>249</v>
      </c>
      <c r="H7" s="99">
        <v>1000</v>
      </c>
      <c r="I7" s="99">
        <v>1000</v>
      </c>
      <c r="J7" s="99">
        <v>290.5</v>
      </c>
      <c r="K7" s="99">
        <v>1000</v>
      </c>
      <c r="L7" s="537">
        <v>1550</v>
      </c>
    </row>
    <row r="8" spans="1:12" ht="15" x14ac:dyDescent="0.25">
      <c r="A8" s="94"/>
      <c r="B8" s="100" t="s">
        <v>169</v>
      </c>
      <c r="C8" s="51">
        <f t="shared" ref="C8:I8" si="0">SUM(C3:C7)</f>
        <v>4300</v>
      </c>
      <c r="D8" s="161">
        <f t="shared" si="0"/>
        <v>1133.79</v>
      </c>
      <c r="E8" s="159">
        <f t="shared" si="0"/>
        <v>3900</v>
      </c>
      <c r="F8" s="51">
        <f t="shared" si="0"/>
        <v>3900</v>
      </c>
      <c r="G8" s="161">
        <f t="shared" si="0"/>
        <v>288.99</v>
      </c>
      <c r="H8" s="161">
        <f t="shared" si="0"/>
        <v>3400</v>
      </c>
      <c r="I8" s="161">
        <f t="shared" si="0"/>
        <v>3400</v>
      </c>
      <c r="J8" s="161">
        <f>SUM(J3:J7)</f>
        <v>372.27</v>
      </c>
      <c r="K8" s="161">
        <f>SUM(K3:K7)</f>
        <v>2050</v>
      </c>
      <c r="L8" s="229">
        <f>SUM(L3:L7)</f>
        <v>2600</v>
      </c>
    </row>
    <row r="9" spans="1:12" x14ac:dyDescent="0.2">
      <c r="A9" s="101"/>
      <c r="B9" s="98"/>
      <c r="C9" s="2"/>
      <c r="D9" s="151"/>
      <c r="E9" s="163"/>
      <c r="F9" s="2"/>
      <c r="G9" s="151"/>
      <c r="H9" s="151"/>
      <c r="I9" s="2"/>
      <c r="J9" s="2"/>
      <c r="K9" s="2"/>
      <c r="L9" s="2"/>
    </row>
    <row r="10" spans="1:12" x14ac:dyDescent="0.2">
      <c r="A10" s="102"/>
      <c r="B10" s="102"/>
      <c r="C10" s="2"/>
      <c r="D10" s="151"/>
      <c r="E10" s="163"/>
      <c r="F10" s="2"/>
      <c r="G10" s="151"/>
      <c r="H10" s="151"/>
      <c r="I10" s="2"/>
      <c r="J10" s="2"/>
      <c r="K10" s="2"/>
      <c r="L10" s="2"/>
    </row>
    <row r="11" spans="1:12" x14ac:dyDescent="0.2">
      <c r="A11" s="103"/>
      <c r="B11" s="104"/>
      <c r="C11" s="2"/>
      <c r="D11" s="151"/>
      <c r="E11" s="163"/>
      <c r="F11" s="2"/>
      <c r="G11" s="151"/>
      <c r="H11" s="151"/>
      <c r="I11" s="2"/>
      <c r="J11" s="2"/>
      <c r="K11" s="2"/>
      <c r="L11" s="2"/>
    </row>
    <row r="12" spans="1:12" x14ac:dyDescent="0.2">
      <c r="A12" s="101"/>
      <c r="B12" s="105"/>
      <c r="C12" s="2"/>
      <c r="D12" s="151"/>
      <c r="E12" s="163"/>
      <c r="F12" s="2"/>
      <c r="G12" s="151"/>
      <c r="H12" s="151"/>
      <c r="I12" s="2"/>
      <c r="J12" s="2"/>
      <c r="K12" s="2"/>
      <c r="L12" s="2"/>
    </row>
    <row r="13" spans="1:12" x14ac:dyDescent="0.2">
      <c r="A13" s="106"/>
      <c r="B13" s="107"/>
    </row>
    <row r="14" spans="1:12" x14ac:dyDescent="0.2">
      <c r="A14" s="108"/>
      <c r="B14" s="109"/>
    </row>
    <row r="15" spans="1:12" x14ac:dyDescent="0.2">
      <c r="A15" s="108"/>
      <c r="B15" s="109"/>
    </row>
    <row r="16" spans="1:12" x14ac:dyDescent="0.2">
      <c r="A16" s="108"/>
      <c r="B16" s="109"/>
    </row>
    <row r="17" spans="1:2" x14ac:dyDescent="0.2">
      <c r="A17" s="108"/>
      <c r="B17" s="109"/>
    </row>
    <row r="18" spans="1:2" x14ac:dyDescent="0.2">
      <c r="A18" s="108"/>
      <c r="B18" s="109"/>
    </row>
    <row r="19" spans="1:2" x14ac:dyDescent="0.2">
      <c r="A19" s="108"/>
      <c r="B19" s="109"/>
    </row>
    <row r="20" spans="1:2" x14ac:dyDescent="0.2">
      <c r="A20" s="108"/>
      <c r="B20" s="109"/>
    </row>
    <row r="21" spans="1:2" x14ac:dyDescent="0.2">
      <c r="A21" s="108"/>
      <c r="B21" s="109"/>
    </row>
    <row r="22" spans="1:2" x14ac:dyDescent="0.2">
      <c r="A22" s="108"/>
      <c r="B22" s="109"/>
    </row>
    <row r="23" spans="1:2" x14ac:dyDescent="0.2">
      <c r="A23" s="108"/>
      <c r="B23" s="109"/>
    </row>
    <row r="24" spans="1:2" x14ac:dyDescent="0.2">
      <c r="A24" s="108"/>
      <c r="B24" s="109"/>
    </row>
    <row r="25" spans="1:2" x14ac:dyDescent="0.2">
      <c r="A25" s="108"/>
      <c r="B25" s="109"/>
    </row>
    <row r="26" spans="1:2" x14ac:dyDescent="0.2">
      <c r="A26" s="108"/>
      <c r="B26" s="109"/>
    </row>
    <row r="27" spans="1:2" x14ac:dyDescent="0.2">
      <c r="A27" s="108"/>
      <c r="B27" s="109"/>
    </row>
    <row r="28" spans="1:2" x14ac:dyDescent="0.2">
      <c r="A28" s="108"/>
      <c r="B28" s="109"/>
    </row>
    <row r="29" spans="1:2" x14ac:dyDescent="0.2">
      <c r="A29" s="108"/>
      <c r="B29" s="109"/>
    </row>
    <row r="30" spans="1:2" x14ac:dyDescent="0.2">
      <c r="A30" s="108"/>
      <c r="B30" s="109"/>
    </row>
    <row r="31" spans="1:2" x14ac:dyDescent="0.2">
      <c r="A31" s="108"/>
      <c r="B31" s="109"/>
    </row>
    <row r="32" spans="1:2" x14ac:dyDescent="0.2">
      <c r="A32" s="108"/>
      <c r="B32" s="109"/>
    </row>
    <row r="33" spans="1:2" x14ac:dyDescent="0.2">
      <c r="A33" s="108"/>
      <c r="B33" s="109"/>
    </row>
    <row r="34" spans="1:2" x14ac:dyDescent="0.2">
      <c r="A34" s="108"/>
      <c r="B34" s="109"/>
    </row>
    <row r="35" spans="1:2" x14ac:dyDescent="0.2">
      <c r="A35" s="108"/>
      <c r="B35" s="109"/>
    </row>
  </sheetData>
  <phoneticPr fontId="24" type="noConversion"/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4"/>
  <sheetViews>
    <sheetView workbookViewId="0">
      <selection activeCell="K1" sqref="K1:K1048576"/>
    </sheetView>
  </sheetViews>
  <sheetFormatPr defaultRowHeight="14.25" x14ac:dyDescent="0.2"/>
  <cols>
    <col min="1" max="1" width="11.75" style="110" customWidth="1"/>
    <col min="2" max="2" width="32.5" style="18" customWidth="1"/>
    <col min="3" max="4" width="13.75" hidden="1" customWidth="1"/>
    <col min="5" max="5" width="12.75" hidden="1" customWidth="1"/>
    <col min="6" max="6" width="12.375" hidden="1" customWidth="1"/>
    <col min="7" max="7" width="11.875" hidden="1" customWidth="1"/>
    <col min="8" max="8" width="2.5" hidden="1" customWidth="1"/>
    <col min="9" max="9" width="12.75" hidden="1" customWidth="1"/>
    <col min="10" max="11" width="15.75" hidden="1" customWidth="1"/>
    <col min="12" max="12" width="15.75" style="573" customWidth="1"/>
  </cols>
  <sheetData>
    <row r="1" spans="1:12" x14ac:dyDescent="0.2">
      <c r="B1" s="444"/>
      <c r="I1" s="2"/>
    </row>
    <row r="2" spans="1:12" ht="43.9" customHeight="1" x14ac:dyDescent="0.25">
      <c r="A2" s="11"/>
      <c r="B2" s="12" t="s">
        <v>20</v>
      </c>
      <c r="C2" s="266" t="s">
        <v>304</v>
      </c>
      <c r="D2" s="404" t="s">
        <v>1349</v>
      </c>
      <c r="E2" s="266" t="s">
        <v>1351</v>
      </c>
      <c r="F2" s="143" t="s">
        <v>1508</v>
      </c>
      <c r="G2" s="143" t="s">
        <v>1494</v>
      </c>
      <c r="H2" s="154" t="s">
        <v>1505</v>
      </c>
      <c r="I2" s="266" t="s">
        <v>1542</v>
      </c>
      <c r="J2" s="266" t="s">
        <v>1568</v>
      </c>
      <c r="K2" s="266" t="s">
        <v>1634</v>
      </c>
      <c r="L2" s="572" t="s">
        <v>1686</v>
      </c>
    </row>
    <row r="3" spans="1:12" ht="15" x14ac:dyDescent="0.25">
      <c r="A3" s="472"/>
      <c r="B3" s="473"/>
      <c r="C3" s="111"/>
      <c r="D3" s="2"/>
      <c r="E3" s="180"/>
      <c r="F3" s="2"/>
      <c r="G3" s="180"/>
      <c r="H3" s="232"/>
      <c r="I3" s="266"/>
      <c r="J3" s="266"/>
      <c r="K3" s="266"/>
      <c r="L3" s="571"/>
    </row>
    <row r="4" spans="1:12" x14ac:dyDescent="0.2">
      <c r="A4" s="283"/>
      <c r="B4" s="287"/>
      <c r="C4" s="2"/>
      <c r="D4" s="2"/>
      <c r="E4" s="180"/>
      <c r="F4" s="180"/>
      <c r="G4" s="180"/>
      <c r="H4" s="232"/>
      <c r="I4" s="180"/>
      <c r="J4" s="180"/>
      <c r="K4" s="180"/>
      <c r="L4" s="571"/>
    </row>
    <row r="5" spans="1:12" x14ac:dyDescent="0.2">
      <c r="A5" s="283" t="s">
        <v>915</v>
      </c>
      <c r="B5" s="287" t="s">
        <v>916</v>
      </c>
      <c r="C5" s="474">
        <v>30000</v>
      </c>
      <c r="D5" s="288">
        <v>30000</v>
      </c>
      <c r="E5" s="180">
        <v>22500</v>
      </c>
      <c r="F5" s="288">
        <v>35000</v>
      </c>
      <c r="G5" s="180">
        <v>15000</v>
      </c>
      <c r="H5" s="232">
        <v>35000</v>
      </c>
      <c r="I5" s="180">
        <v>35000</v>
      </c>
      <c r="J5" s="180">
        <v>22500</v>
      </c>
      <c r="K5" s="180">
        <v>40000</v>
      </c>
      <c r="L5" s="571">
        <v>40000</v>
      </c>
    </row>
    <row r="6" spans="1:12" x14ac:dyDescent="0.2">
      <c r="A6" s="283"/>
      <c r="B6" s="287" t="s">
        <v>917</v>
      </c>
      <c r="C6" s="474"/>
      <c r="D6" s="288"/>
      <c r="E6" s="180"/>
      <c r="F6" s="180">
        <v>0</v>
      </c>
      <c r="G6" s="180"/>
      <c r="H6" s="232"/>
      <c r="I6" s="180"/>
      <c r="J6" s="180">
        <v>0</v>
      </c>
      <c r="K6" s="180"/>
      <c r="L6" s="571">
        <v>10000</v>
      </c>
    </row>
    <row r="7" spans="1:12" x14ac:dyDescent="0.2">
      <c r="A7" s="283" t="s">
        <v>918</v>
      </c>
      <c r="B7" s="287" t="s">
        <v>919</v>
      </c>
      <c r="C7" s="474"/>
      <c r="D7" s="288"/>
      <c r="E7" s="180"/>
      <c r="F7" s="180">
        <v>0</v>
      </c>
      <c r="G7" s="180"/>
      <c r="H7" s="232"/>
      <c r="I7" s="180"/>
      <c r="J7" s="180"/>
      <c r="K7" s="180"/>
      <c r="L7" s="571"/>
    </row>
    <row r="8" spans="1:12" x14ac:dyDescent="0.2">
      <c r="A8" s="283" t="s">
        <v>920</v>
      </c>
      <c r="B8" s="287" t="s">
        <v>921</v>
      </c>
      <c r="C8" s="474">
        <v>12500</v>
      </c>
      <c r="D8" s="288">
        <v>12500</v>
      </c>
      <c r="E8" s="180">
        <v>9375</v>
      </c>
      <c r="F8" s="288">
        <v>12500</v>
      </c>
      <c r="G8" s="180">
        <v>6250</v>
      </c>
      <c r="H8" s="232">
        <v>12500</v>
      </c>
      <c r="I8" s="180">
        <v>12500</v>
      </c>
      <c r="J8" s="180">
        <v>9375</v>
      </c>
      <c r="K8" s="180">
        <v>15000</v>
      </c>
      <c r="L8" s="571">
        <v>15000</v>
      </c>
    </row>
    <row r="9" spans="1:12" x14ac:dyDescent="0.2">
      <c r="A9" s="283"/>
      <c r="B9" s="287" t="s">
        <v>1394</v>
      </c>
      <c r="C9" s="474"/>
      <c r="D9" s="288"/>
      <c r="E9" s="180"/>
      <c r="F9" s="288"/>
      <c r="G9" s="180"/>
      <c r="H9" s="232"/>
      <c r="I9" s="180"/>
      <c r="J9" s="180">
        <v>0</v>
      </c>
      <c r="K9" s="180"/>
      <c r="L9" s="571">
        <v>10000</v>
      </c>
    </row>
    <row r="10" spans="1:12" x14ac:dyDescent="0.2">
      <c r="A10" s="283" t="s">
        <v>922</v>
      </c>
      <c r="B10" s="287" t="s">
        <v>923</v>
      </c>
      <c r="C10" s="474">
        <v>3000</v>
      </c>
      <c r="D10" s="288">
        <v>3000</v>
      </c>
      <c r="E10" s="180">
        <v>2250</v>
      </c>
      <c r="F10" s="288">
        <v>3000</v>
      </c>
      <c r="G10" s="180">
        <v>1500</v>
      </c>
      <c r="H10" s="232">
        <v>3000</v>
      </c>
      <c r="I10" s="180">
        <v>3000</v>
      </c>
      <c r="J10" s="180">
        <v>2250</v>
      </c>
      <c r="K10" s="180">
        <v>1500</v>
      </c>
      <c r="L10" s="571">
        <v>3000</v>
      </c>
    </row>
    <row r="11" spans="1:12" x14ac:dyDescent="0.2">
      <c r="A11" s="283" t="s">
        <v>924</v>
      </c>
      <c r="B11" s="287" t="s">
        <v>925</v>
      </c>
      <c r="C11" s="474">
        <v>12000</v>
      </c>
      <c r="D11" s="288">
        <v>12000</v>
      </c>
      <c r="E11" s="180">
        <v>9000</v>
      </c>
      <c r="F11" s="180">
        <v>15450</v>
      </c>
      <c r="G11" s="180">
        <v>6750</v>
      </c>
      <c r="H11" s="232">
        <v>12000</v>
      </c>
      <c r="I11" s="180">
        <v>12000</v>
      </c>
      <c r="J11" s="180">
        <v>9000</v>
      </c>
      <c r="K11" s="180">
        <v>15000</v>
      </c>
      <c r="L11" s="571">
        <v>15000</v>
      </c>
    </row>
    <row r="12" spans="1:12" x14ac:dyDescent="0.2">
      <c r="A12" s="283"/>
      <c r="B12" s="287" t="s">
        <v>926</v>
      </c>
      <c r="C12" s="474"/>
      <c r="D12" s="288"/>
      <c r="E12" s="180"/>
      <c r="F12" s="180"/>
      <c r="G12" s="180"/>
      <c r="H12" s="232"/>
      <c r="I12" s="180"/>
      <c r="J12" s="180">
        <v>0</v>
      </c>
      <c r="K12" s="180"/>
      <c r="L12" s="571">
        <v>10000</v>
      </c>
    </row>
    <row r="13" spans="1:12" x14ac:dyDescent="0.2">
      <c r="A13" s="283" t="s">
        <v>927</v>
      </c>
      <c r="B13" s="287" t="s">
        <v>928</v>
      </c>
      <c r="C13" s="474">
        <v>3000</v>
      </c>
      <c r="D13" s="288">
        <v>3000</v>
      </c>
      <c r="E13" s="180">
        <v>2250</v>
      </c>
      <c r="F13" s="180">
        <v>3000</v>
      </c>
      <c r="G13" s="180">
        <v>750</v>
      </c>
      <c r="H13" s="232">
        <v>3000</v>
      </c>
      <c r="I13" s="180">
        <v>3000</v>
      </c>
      <c r="J13" s="180">
        <v>2250</v>
      </c>
      <c r="K13" s="180">
        <v>1500</v>
      </c>
      <c r="L13" s="571">
        <v>3000</v>
      </c>
    </row>
    <row r="14" spans="1:12" x14ac:dyDescent="0.2">
      <c r="A14" s="283" t="s">
        <v>929</v>
      </c>
      <c r="B14" s="287" t="s">
        <v>930</v>
      </c>
      <c r="C14" s="474">
        <v>3200</v>
      </c>
      <c r="D14" s="288">
        <v>3200</v>
      </c>
      <c r="E14" s="180">
        <v>1236</v>
      </c>
      <c r="F14" s="180">
        <v>3200</v>
      </c>
      <c r="G14" s="180"/>
      <c r="H14" s="232">
        <v>3200</v>
      </c>
      <c r="I14" s="180">
        <v>3200</v>
      </c>
      <c r="J14" s="180">
        <v>449.16</v>
      </c>
      <c r="K14" s="180">
        <v>3600</v>
      </c>
      <c r="L14" s="571">
        <v>3600</v>
      </c>
    </row>
    <row r="15" spans="1:12" x14ac:dyDescent="0.2">
      <c r="A15" s="283"/>
      <c r="B15" s="287" t="s">
        <v>931</v>
      </c>
      <c r="C15" s="474"/>
      <c r="D15" s="288"/>
      <c r="E15" s="180"/>
      <c r="F15" s="180"/>
      <c r="G15" s="180"/>
      <c r="H15" s="232"/>
      <c r="I15" s="180"/>
      <c r="J15" s="180"/>
      <c r="K15" s="180"/>
      <c r="L15" s="571"/>
    </row>
    <row r="16" spans="1:12" x14ac:dyDescent="0.2">
      <c r="A16" s="283" t="s">
        <v>932</v>
      </c>
      <c r="B16" s="287" t="s">
        <v>27</v>
      </c>
      <c r="C16" s="474">
        <v>2500</v>
      </c>
      <c r="D16" s="288">
        <v>1500</v>
      </c>
      <c r="E16" s="180">
        <v>0</v>
      </c>
      <c r="F16" s="288">
        <v>5000</v>
      </c>
      <c r="G16" s="180"/>
      <c r="H16" s="232">
        <v>5000</v>
      </c>
      <c r="I16" s="180">
        <v>5000</v>
      </c>
      <c r="J16" s="180">
        <v>1650</v>
      </c>
      <c r="K16" s="180">
        <v>5000</v>
      </c>
      <c r="L16" s="571">
        <v>7500</v>
      </c>
    </row>
    <row r="17" spans="1:12" x14ac:dyDescent="0.2">
      <c r="A17" s="283" t="s">
        <v>933</v>
      </c>
      <c r="B17" s="287" t="s">
        <v>934</v>
      </c>
      <c r="C17" s="474">
        <v>1500</v>
      </c>
      <c r="D17" s="288">
        <v>1500</v>
      </c>
      <c r="E17" s="180">
        <v>743.34</v>
      </c>
      <c r="F17" s="288">
        <v>0</v>
      </c>
      <c r="G17" s="180"/>
      <c r="H17" s="232"/>
      <c r="I17" s="180"/>
      <c r="J17" s="180">
        <v>0</v>
      </c>
      <c r="K17" s="180"/>
      <c r="L17" s="571"/>
    </row>
    <row r="18" spans="1:12" x14ac:dyDescent="0.2">
      <c r="A18" s="283" t="s">
        <v>935</v>
      </c>
      <c r="B18" s="287" t="s">
        <v>936</v>
      </c>
      <c r="C18" s="474">
        <v>5000</v>
      </c>
      <c r="D18" s="288">
        <v>5000</v>
      </c>
      <c r="E18" s="180">
        <v>1545.9</v>
      </c>
      <c r="F18" s="288">
        <v>5000</v>
      </c>
      <c r="G18" s="180"/>
      <c r="H18" s="232">
        <v>5000</v>
      </c>
      <c r="I18" s="180">
        <v>5000</v>
      </c>
      <c r="J18" s="180">
        <v>1569.5</v>
      </c>
      <c r="K18" s="180">
        <v>5000</v>
      </c>
      <c r="L18" s="571">
        <v>5000</v>
      </c>
    </row>
    <row r="19" spans="1:12" x14ac:dyDescent="0.2">
      <c r="A19" s="283" t="s">
        <v>937</v>
      </c>
      <c r="B19" s="287" t="s">
        <v>938</v>
      </c>
      <c r="C19" s="474">
        <v>1500</v>
      </c>
      <c r="D19" s="288">
        <v>2000</v>
      </c>
      <c r="E19" s="180">
        <v>2000</v>
      </c>
      <c r="F19" s="288">
        <v>3000</v>
      </c>
      <c r="G19" s="180"/>
      <c r="H19" s="232">
        <v>3000</v>
      </c>
      <c r="I19" s="180">
        <v>3000</v>
      </c>
      <c r="J19" s="180">
        <v>3000</v>
      </c>
      <c r="K19" s="180">
        <v>3000</v>
      </c>
      <c r="L19" s="571">
        <v>3000</v>
      </c>
    </row>
    <row r="20" spans="1:12" x14ac:dyDescent="0.2">
      <c r="A20" s="283" t="s">
        <v>939</v>
      </c>
      <c r="B20" s="287" t="s">
        <v>940</v>
      </c>
      <c r="C20" s="474"/>
      <c r="D20" s="288"/>
      <c r="E20" s="180"/>
      <c r="F20" s="180"/>
      <c r="G20" s="180"/>
      <c r="H20" s="232"/>
      <c r="I20" s="180"/>
      <c r="J20" s="180"/>
      <c r="K20" s="180"/>
      <c r="L20" s="571"/>
    </row>
    <row r="21" spans="1:12" x14ac:dyDescent="0.2">
      <c r="A21" s="283" t="s">
        <v>941</v>
      </c>
      <c r="B21" s="287" t="s">
        <v>942</v>
      </c>
      <c r="C21" s="474">
        <v>0</v>
      </c>
      <c r="D21" s="288"/>
      <c r="E21" s="180"/>
      <c r="F21" s="180">
        <v>0</v>
      </c>
      <c r="G21" s="180"/>
      <c r="H21" s="232"/>
      <c r="I21" s="180"/>
      <c r="J21" s="180">
        <v>0</v>
      </c>
      <c r="K21" s="180"/>
      <c r="L21" s="571"/>
    </row>
    <row r="22" spans="1:12" x14ac:dyDescent="0.2">
      <c r="A22" s="283" t="s">
        <v>943</v>
      </c>
      <c r="B22" s="287" t="s">
        <v>944</v>
      </c>
      <c r="C22" s="474">
        <v>5000</v>
      </c>
      <c r="D22" s="288">
        <v>5000</v>
      </c>
      <c r="E22" s="180">
        <v>0</v>
      </c>
      <c r="F22" s="180">
        <v>5000</v>
      </c>
      <c r="G22" s="180"/>
      <c r="H22" s="232">
        <v>5000</v>
      </c>
      <c r="I22" s="180">
        <v>5000</v>
      </c>
      <c r="J22" s="180">
        <v>0</v>
      </c>
      <c r="K22" s="180">
        <v>5000</v>
      </c>
      <c r="L22" s="571">
        <v>5000</v>
      </c>
    </row>
    <row r="23" spans="1:12" x14ac:dyDescent="0.2">
      <c r="A23" s="283" t="s">
        <v>945</v>
      </c>
      <c r="B23" s="287" t="s">
        <v>946</v>
      </c>
      <c r="C23" s="474">
        <v>8161</v>
      </c>
      <c r="D23" s="288">
        <v>8161</v>
      </c>
      <c r="E23" s="180">
        <v>8161</v>
      </c>
      <c r="F23" s="180">
        <v>8161</v>
      </c>
      <c r="G23" s="180">
        <v>8161</v>
      </c>
      <c r="H23" s="232">
        <v>8161</v>
      </c>
      <c r="I23" s="180">
        <v>8161</v>
      </c>
      <c r="J23" s="180">
        <v>8161</v>
      </c>
      <c r="K23" s="180">
        <v>8161</v>
      </c>
      <c r="L23" s="571">
        <v>8161</v>
      </c>
    </row>
    <row r="24" spans="1:12" hidden="1" x14ac:dyDescent="0.2">
      <c r="A24" s="283" t="s">
        <v>947</v>
      </c>
      <c r="B24" s="287" t="s">
        <v>948</v>
      </c>
      <c r="C24" s="474"/>
      <c r="D24" s="288"/>
      <c r="E24" s="180"/>
      <c r="F24" s="180"/>
      <c r="G24" s="180"/>
      <c r="H24" s="232"/>
      <c r="I24" s="180"/>
      <c r="J24" s="180"/>
      <c r="K24" s="180"/>
      <c r="L24" s="571"/>
    </row>
    <row r="25" spans="1:12" hidden="1" x14ac:dyDescent="0.2">
      <c r="A25" s="283" t="s">
        <v>949</v>
      </c>
      <c r="B25" s="287" t="s">
        <v>950</v>
      </c>
      <c r="C25" s="474"/>
      <c r="D25" s="288"/>
      <c r="E25" s="180"/>
      <c r="F25" s="180"/>
      <c r="G25" s="180"/>
      <c r="H25" s="232"/>
      <c r="I25" s="180"/>
      <c r="J25" s="180"/>
      <c r="K25" s="180"/>
      <c r="L25" s="571"/>
    </row>
    <row r="26" spans="1:12" hidden="1" x14ac:dyDescent="0.2">
      <c r="A26" s="283" t="s">
        <v>951</v>
      </c>
      <c r="B26" s="287" t="s">
        <v>952</v>
      </c>
      <c r="C26" s="474"/>
      <c r="D26" s="288"/>
      <c r="E26" s="180"/>
      <c r="F26" s="180"/>
      <c r="G26" s="180"/>
      <c r="H26" s="232"/>
      <c r="I26" s="180"/>
      <c r="J26" s="180"/>
      <c r="K26" s="180"/>
      <c r="L26" s="571"/>
    </row>
    <row r="27" spans="1:12" x14ac:dyDescent="0.2">
      <c r="A27" s="283" t="s">
        <v>953</v>
      </c>
      <c r="B27" s="287" t="s">
        <v>954</v>
      </c>
      <c r="C27" s="474">
        <v>2500</v>
      </c>
      <c r="D27" s="288">
        <v>3000</v>
      </c>
      <c r="E27" s="180">
        <v>3000</v>
      </c>
      <c r="F27" s="180">
        <v>3000</v>
      </c>
      <c r="G27" s="180"/>
      <c r="H27" s="232">
        <v>3000</v>
      </c>
      <c r="I27" s="180">
        <v>3000</v>
      </c>
      <c r="J27" s="180">
        <v>0</v>
      </c>
      <c r="K27" s="180">
        <v>3000</v>
      </c>
      <c r="L27" s="571">
        <v>3000</v>
      </c>
    </row>
    <row r="28" spans="1:12" x14ac:dyDescent="0.2">
      <c r="A28" s="283" t="s">
        <v>955</v>
      </c>
      <c r="B28" s="287" t="s">
        <v>956</v>
      </c>
      <c r="C28" s="474">
        <v>0</v>
      </c>
      <c r="D28" s="288"/>
      <c r="E28" s="180"/>
      <c r="F28" s="180">
        <v>0</v>
      </c>
      <c r="G28" s="180"/>
      <c r="H28" s="232"/>
      <c r="I28" s="180"/>
      <c r="J28" s="180">
        <v>0</v>
      </c>
      <c r="K28" s="180"/>
      <c r="L28" s="571"/>
    </row>
    <row r="29" spans="1:12" x14ac:dyDescent="0.2">
      <c r="A29" s="283" t="s">
        <v>957</v>
      </c>
      <c r="B29" s="287" t="s">
        <v>958</v>
      </c>
      <c r="C29" s="474"/>
      <c r="D29" s="288"/>
      <c r="E29" s="180"/>
      <c r="F29" s="180"/>
      <c r="G29" s="180"/>
      <c r="H29" s="232"/>
      <c r="I29" s="180"/>
      <c r="J29" s="180"/>
      <c r="K29" s="180"/>
      <c r="L29" s="571"/>
    </row>
    <row r="30" spans="1:12" x14ac:dyDescent="0.2">
      <c r="A30" s="283" t="s">
        <v>959</v>
      </c>
      <c r="B30" s="287" t="s">
        <v>960</v>
      </c>
      <c r="C30" s="474">
        <v>15000</v>
      </c>
      <c r="D30" s="288">
        <v>15000</v>
      </c>
      <c r="E30" s="180">
        <v>11250</v>
      </c>
      <c r="F30" s="180">
        <v>30000</v>
      </c>
      <c r="G30" s="180">
        <v>15000</v>
      </c>
      <c r="H30" s="232">
        <v>30000</v>
      </c>
      <c r="I30" s="180">
        <v>30000</v>
      </c>
      <c r="J30" s="180">
        <v>22500</v>
      </c>
      <c r="K30" s="180">
        <v>30000</v>
      </c>
      <c r="L30" s="571">
        <v>30000</v>
      </c>
    </row>
    <row r="31" spans="1:12" x14ac:dyDescent="0.2">
      <c r="A31" s="283" t="s">
        <v>961</v>
      </c>
      <c r="B31" s="287" t="s">
        <v>962</v>
      </c>
      <c r="C31" s="474">
        <v>2000</v>
      </c>
      <c r="D31" s="288">
        <v>2000</v>
      </c>
      <c r="E31" s="180">
        <v>100</v>
      </c>
      <c r="F31" s="180">
        <v>2000</v>
      </c>
      <c r="G31" s="180">
        <v>2000</v>
      </c>
      <c r="H31" s="232">
        <v>2000</v>
      </c>
      <c r="I31" s="180">
        <v>2000</v>
      </c>
      <c r="J31" s="180">
        <v>0</v>
      </c>
      <c r="K31" s="180">
        <v>2000</v>
      </c>
      <c r="L31" s="180">
        <v>2000</v>
      </c>
    </row>
    <row r="32" spans="1:12" x14ac:dyDescent="0.2">
      <c r="A32" s="283" t="s">
        <v>963</v>
      </c>
      <c r="B32" s="287" t="s">
        <v>964</v>
      </c>
      <c r="C32" s="474">
        <v>5000</v>
      </c>
      <c r="D32" s="288">
        <v>5000</v>
      </c>
      <c r="E32" s="180">
        <v>2770.81</v>
      </c>
      <c r="F32" s="180">
        <v>5000</v>
      </c>
      <c r="G32" s="180">
        <v>2500.02</v>
      </c>
      <c r="H32" s="232">
        <v>5000</v>
      </c>
      <c r="I32" s="180">
        <v>5000</v>
      </c>
      <c r="J32" s="180">
        <v>2916.69</v>
      </c>
      <c r="K32" s="180">
        <v>10000</v>
      </c>
      <c r="L32" s="180">
        <v>10000</v>
      </c>
    </row>
    <row r="33" spans="1:12" x14ac:dyDescent="0.2">
      <c r="A33" s="283" t="s">
        <v>965</v>
      </c>
      <c r="B33" s="287" t="s">
        <v>966</v>
      </c>
      <c r="C33" s="356">
        <v>4500</v>
      </c>
      <c r="D33" s="288">
        <v>4500</v>
      </c>
      <c r="E33" s="180">
        <v>3375</v>
      </c>
      <c r="F33" s="180">
        <v>4500</v>
      </c>
      <c r="G33" s="180">
        <v>2250</v>
      </c>
      <c r="H33" s="232">
        <v>4500</v>
      </c>
      <c r="I33" s="180">
        <v>4500</v>
      </c>
      <c r="J33" s="180">
        <v>3375</v>
      </c>
      <c r="K33" s="180">
        <v>4500</v>
      </c>
      <c r="L33" s="571">
        <v>4500</v>
      </c>
    </row>
    <row r="34" spans="1:12" x14ac:dyDescent="0.2">
      <c r="A34" s="283" t="s">
        <v>967</v>
      </c>
      <c r="B34" s="287" t="s">
        <v>968</v>
      </c>
      <c r="C34" s="356">
        <v>10000</v>
      </c>
      <c r="D34" s="288">
        <v>10000</v>
      </c>
      <c r="E34" s="180">
        <v>1586.59</v>
      </c>
      <c r="F34" s="180">
        <v>10000</v>
      </c>
      <c r="G34" s="180">
        <v>3106.27</v>
      </c>
      <c r="H34" s="232">
        <v>10000</v>
      </c>
      <c r="I34" s="180">
        <v>10000</v>
      </c>
      <c r="J34" s="180">
        <v>3160.02</v>
      </c>
      <c r="K34" s="180">
        <v>10000</v>
      </c>
      <c r="L34" s="571">
        <v>10000</v>
      </c>
    </row>
    <row r="35" spans="1:12" x14ac:dyDescent="0.2">
      <c r="A35" s="283" t="s">
        <v>969</v>
      </c>
      <c r="B35" s="287" t="s">
        <v>970</v>
      </c>
      <c r="C35" s="356">
        <v>3000</v>
      </c>
      <c r="D35" s="288">
        <v>2000</v>
      </c>
      <c r="E35" s="180"/>
      <c r="F35" s="180">
        <v>0</v>
      </c>
      <c r="G35" s="180"/>
      <c r="H35" s="232"/>
      <c r="I35" s="180"/>
      <c r="J35" s="180">
        <v>0</v>
      </c>
      <c r="K35" s="180"/>
      <c r="L35" s="571"/>
    </row>
    <row r="36" spans="1:12" x14ac:dyDescent="0.2">
      <c r="A36" s="283" t="s">
        <v>971</v>
      </c>
      <c r="B36" s="287" t="s">
        <v>972</v>
      </c>
      <c r="C36" s="474">
        <v>2000</v>
      </c>
      <c r="D36" s="288">
        <v>3000</v>
      </c>
      <c r="E36" s="180"/>
      <c r="F36" s="180">
        <v>3000</v>
      </c>
      <c r="G36" s="180">
        <v>3000</v>
      </c>
      <c r="H36" s="232">
        <v>3000</v>
      </c>
      <c r="I36" s="180">
        <v>3000</v>
      </c>
      <c r="J36" s="180">
        <v>3000</v>
      </c>
      <c r="K36" s="180">
        <v>3000</v>
      </c>
      <c r="L36" s="571">
        <v>3300</v>
      </c>
    </row>
    <row r="37" spans="1:12" x14ac:dyDescent="0.2">
      <c r="A37" s="283" t="s">
        <v>973</v>
      </c>
      <c r="B37" s="287" t="s">
        <v>974</v>
      </c>
      <c r="C37" s="474">
        <v>1000</v>
      </c>
      <c r="D37" s="49">
        <v>1500</v>
      </c>
      <c r="E37" s="180"/>
      <c r="F37" s="180">
        <v>1500</v>
      </c>
      <c r="G37" s="180"/>
      <c r="H37" s="232">
        <v>1500</v>
      </c>
      <c r="I37" s="180">
        <v>1500</v>
      </c>
      <c r="J37" s="180">
        <v>0</v>
      </c>
      <c r="K37" s="180">
        <v>1500</v>
      </c>
      <c r="L37" s="571">
        <v>1500</v>
      </c>
    </row>
    <row r="38" spans="1:12" x14ac:dyDescent="0.2">
      <c r="A38" s="283" t="s">
        <v>975</v>
      </c>
      <c r="B38" s="287" t="s">
        <v>976</v>
      </c>
      <c r="C38" s="474">
        <v>1000</v>
      </c>
      <c r="D38" s="49"/>
      <c r="E38" s="180"/>
      <c r="F38" s="180">
        <v>0</v>
      </c>
      <c r="G38" s="180"/>
      <c r="H38" s="232"/>
      <c r="I38" s="180"/>
      <c r="J38" s="180">
        <v>0</v>
      </c>
      <c r="K38" s="180"/>
      <c r="L38" s="571"/>
    </row>
    <row r="39" spans="1:12" x14ac:dyDescent="0.2">
      <c r="A39" s="283" t="s">
        <v>977</v>
      </c>
      <c r="B39" s="287" t="s">
        <v>978</v>
      </c>
      <c r="C39" s="474">
        <v>15000</v>
      </c>
      <c r="D39" s="49"/>
      <c r="E39" s="180"/>
      <c r="F39" s="180">
        <v>0</v>
      </c>
      <c r="G39" s="180"/>
      <c r="H39" s="232"/>
      <c r="I39" s="180"/>
      <c r="J39" s="180">
        <v>0</v>
      </c>
      <c r="K39" s="180"/>
      <c r="L39" s="571"/>
    </row>
    <row r="40" spans="1:12" x14ac:dyDescent="0.2">
      <c r="A40" s="283" t="s">
        <v>979</v>
      </c>
      <c r="B40" s="287" t="s">
        <v>980</v>
      </c>
      <c r="C40" s="474">
        <v>2000</v>
      </c>
      <c r="D40" s="49">
        <v>2000</v>
      </c>
      <c r="E40" s="180">
        <v>2000</v>
      </c>
      <c r="F40" s="180">
        <v>2000</v>
      </c>
      <c r="G40" s="180">
        <v>2000</v>
      </c>
      <c r="H40" s="232">
        <v>2000</v>
      </c>
      <c r="I40" s="180">
        <v>2000</v>
      </c>
      <c r="J40" s="180">
        <v>0</v>
      </c>
      <c r="K40" s="180">
        <v>2000</v>
      </c>
      <c r="L40" s="477">
        <v>2000</v>
      </c>
    </row>
    <row r="41" spans="1:12" x14ac:dyDescent="0.2">
      <c r="A41" s="283" t="s">
        <v>1373</v>
      </c>
      <c r="B41" s="287" t="s">
        <v>981</v>
      </c>
      <c r="C41" s="474"/>
      <c r="D41" s="49">
        <v>1500</v>
      </c>
      <c r="E41" s="180">
        <v>0</v>
      </c>
      <c r="F41" s="180">
        <v>0</v>
      </c>
      <c r="G41" s="180"/>
      <c r="I41" s="2"/>
      <c r="J41" s="2"/>
      <c r="K41" s="49">
        <v>3500</v>
      </c>
      <c r="L41" s="477">
        <v>3000</v>
      </c>
    </row>
    <row r="42" spans="1:12" x14ac:dyDescent="0.2">
      <c r="A42" s="283" t="s">
        <v>982</v>
      </c>
      <c r="B42" s="287" t="s">
        <v>983</v>
      </c>
      <c r="C42" s="474">
        <v>2000</v>
      </c>
      <c r="D42" s="474">
        <v>2000</v>
      </c>
      <c r="E42" s="180"/>
      <c r="F42" s="180">
        <v>2000</v>
      </c>
      <c r="G42" s="180"/>
      <c r="H42" s="232">
        <v>2000</v>
      </c>
      <c r="I42" s="180">
        <v>2500</v>
      </c>
      <c r="J42" s="180">
        <v>0</v>
      </c>
      <c r="K42" s="180">
        <v>2500</v>
      </c>
      <c r="L42" s="477">
        <v>2500</v>
      </c>
    </row>
    <row r="43" spans="1:12" x14ac:dyDescent="0.2">
      <c r="A43" s="283" t="s">
        <v>984</v>
      </c>
      <c r="B43" s="287" t="s">
        <v>985</v>
      </c>
      <c r="C43" s="474">
        <v>2690</v>
      </c>
      <c r="D43" s="474">
        <v>2085.7800000000002</v>
      </c>
      <c r="E43" s="180">
        <v>2085.7800000000002</v>
      </c>
      <c r="F43" s="180">
        <v>2190</v>
      </c>
      <c r="G43" s="180">
        <v>2271</v>
      </c>
      <c r="H43" s="232">
        <v>2271</v>
      </c>
      <c r="I43" s="180">
        <v>2271</v>
      </c>
      <c r="J43" s="180">
        <v>2271</v>
      </c>
      <c r="K43" s="180">
        <v>2271</v>
      </c>
      <c r="L43" s="477">
        <v>2271</v>
      </c>
    </row>
    <row r="44" spans="1:12" hidden="1" x14ac:dyDescent="0.2">
      <c r="A44" s="283" t="s">
        <v>986</v>
      </c>
      <c r="B44" s="287" t="s">
        <v>987</v>
      </c>
      <c r="C44" s="355">
        <v>19730.37</v>
      </c>
      <c r="D44" s="355">
        <v>20723.939999999999</v>
      </c>
      <c r="E44" s="180">
        <v>3644.54</v>
      </c>
      <c r="F44" s="180"/>
      <c r="G44" s="180"/>
      <c r="H44" s="232"/>
      <c r="I44" s="180"/>
      <c r="J44" s="180"/>
      <c r="K44" s="180"/>
      <c r="L44" s="477"/>
    </row>
    <row r="45" spans="1:12" x14ac:dyDescent="0.2">
      <c r="A45" s="283" t="s">
        <v>1408</v>
      </c>
      <c r="B45" s="287" t="s">
        <v>988</v>
      </c>
      <c r="C45" s="355"/>
      <c r="D45" s="49">
        <v>571.42999999999995</v>
      </c>
      <c r="E45" s="180">
        <v>0</v>
      </c>
      <c r="F45" s="180">
        <v>571.42999999999995</v>
      </c>
      <c r="G45" s="180"/>
      <c r="H45" s="232">
        <v>571.42999999999995</v>
      </c>
      <c r="I45" s="180">
        <v>571.42999999999995</v>
      </c>
      <c r="J45" s="180"/>
      <c r="K45" s="180">
        <v>571.42999999999995</v>
      </c>
      <c r="L45" s="477">
        <v>571.42999999999995</v>
      </c>
    </row>
    <row r="46" spans="1:12" x14ac:dyDescent="0.2">
      <c r="A46" s="283"/>
      <c r="B46" s="287" t="s">
        <v>1420</v>
      </c>
      <c r="C46" s="355"/>
      <c r="D46" s="49"/>
      <c r="E46" s="180"/>
      <c r="F46" s="180">
        <v>2000</v>
      </c>
      <c r="G46" s="180"/>
      <c r="H46" s="232">
        <v>7500</v>
      </c>
      <c r="I46" s="180">
        <v>7500</v>
      </c>
      <c r="J46" s="180">
        <v>-110642.5</v>
      </c>
      <c r="K46" s="180">
        <v>7500</v>
      </c>
      <c r="L46" s="477">
        <v>5000</v>
      </c>
    </row>
    <row r="47" spans="1:12" x14ac:dyDescent="0.2">
      <c r="A47" s="283"/>
      <c r="B47" s="287" t="s">
        <v>1617</v>
      </c>
      <c r="C47" s="355"/>
      <c r="D47" s="49"/>
      <c r="E47" s="180"/>
      <c r="F47" s="180"/>
      <c r="G47" s="180"/>
      <c r="H47" s="232"/>
      <c r="I47" s="180"/>
      <c r="J47" s="180"/>
      <c r="K47" s="180">
        <v>3000</v>
      </c>
      <c r="L47" s="477">
        <v>3000</v>
      </c>
    </row>
    <row r="48" spans="1:12" x14ac:dyDescent="0.2">
      <c r="A48" s="283"/>
      <c r="B48" s="287"/>
      <c r="C48" s="355"/>
      <c r="D48" s="49"/>
      <c r="E48" s="180"/>
      <c r="F48" s="180"/>
      <c r="G48" s="180"/>
      <c r="H48" s="232"/>
      <c r="I48" s="180"/>
      <c r="J48" s="180"/>
      <c r="K48" s="180"/>
      <c r="L48" s="571"/>
    </row>
    <row r="49" spans="1:12" x14ac:dyDescent="0.2">
      <c r="A49" s="283"/>
      <c r="B49" s="287"/>
      <c r="C49" s="355"/>
      <c r="D49" s="49"/>
      <c r="E49" s="180"/>
      <c r="F49" s="180"/>
      <c r="G49" s="180"/>
      <c r="H49" s="232"/>
      <c r="I49" s="180"/>
      <c r="J49" s="180"/>
      <c r="K49" s="180"/>
      <c r="L49" s="571"/>
    </row>
    <row r="50" spans="1:12" ht="15" x14ac:dyDescent="0.25">
      <c r="A50" s="283"/>
      <c r="B50" s="294" t="s">
        <v>169</v>
      </c>
      <c r="C50" s="355"/>
      <c r="D50" s="49"/>
      <c r="E50" s="180"/>
      <c r="F50" s="198">
        <f>SUM(F4:F46)</f>
        <v>166072.43</v>
      </c>
      <c r="G50" s="198">
        <f>SUM(G5:G46)</f>
        <v>70538.289999999994</v>
      </c>
      <c r="H50" s="448">
        <f>SUM(H5:H46)</f>
        <v>168203.43</v>
      </c>
      <c r="I50" s="198">
        <f>SUM(I5:I46)</f>
        <v>168703.43</v>
      </c>
      <c r="J50" s="198">
        <f>SUM(J5:J46)</f>
        <v>-13215.12999999999</v>
      </c>
      <c r="K50" s="198">
        <f>SUM(K5:K47)</f>
        <v>188103.43</v>
      </c>
      <c r="L50" s="267">
        <f>SUM(L5:L47)</f>
        <v>220903.43</v>
      </c>
    </row>
    <row r="51" spans="1:12" ht="15" x14ac:dyDescent="0.25">
      <c r="A51" s="280"/>
      <c r="B51" s="293"/>
      <c r="C51" s="384">
        <f>SUM(C5:C44)</f>
        <v>174781.37</v>
      </c>
      <c r="D51" s="146">
        <f>SUM(D4:D45)</f>
        <v>161742.15</v>
      </c>
      <c r="E51" s="198">
        <f>SUM(E4:E45)</f>
        <v>88873.959999999977</v>
      </c>
      <c r="F51" s="180"/>
      <c r="G51" s="180"/>
      <c r="H51" s="232"/>
      <c r="I51" s="2"/>
      <c r="J51" s="2"/>
      <c r="K51" s="2"/>
      <c r="L51" s="571"/>
    </row>
    <row r="52" spans="1:12" x14ac:dyDescent="0.2">
      <c r="A52" s="283"/>
      <c r="B52" s="293"/>
      <c r="C52" s="2"/>
      <c r="D52" s="49"/>
      <c r="E52" s="180"/>
      <c r="F52" s="2"/>
      <c r="G52" s="180"/>
      <c r="H52" s="232"/>
      <c r="I52" s="2"/>
      <c r="J52" s="2"/>
      <c r="K52" s="2"/>
      <c r="L52" s="571"/>
    </row>
    <row r="53" spans="1:12" x14ac:dyDescent="0.2">
      <c r="A53"/>
      <c r="B53"/>
    </row>
    <row r="54" spans="1:12" x14ac:dyDescent="0.2">
      <c r="A54"/>
      <c r="B54"/>
    </row>
  </sheetData>
  <phoneticPr fontId="24" type="noConversion"/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6"/>
  <sheetViews>
    <sheetView workbookViewId="0">
      <selection activeCell="K1" sqref="K1:K1048576"/>
    </sheetView>
  </sheetViews>
  <sheetFormatPr defaultRowHeight="14.25" x14ac:dyDescent="0.2"/>
  <cols>
    <col min="1" max="1" width="11" style="53" customWidth="1"/>
    <col min="2" max="2" width="25.75" style="45" customWidth="1"/>
    <col min="3" max="3" width="11.75" hidden="1" customWidth="1"/>
    <col min="4" max="4" width="12.375" hidden="1" customWidth="1"/>
    <col min="5" max="5" width="12.875" hidden="1" customWidth="1"/>
    <col min="6" max="6" width="12" hidden="1" customWidth="1"/>
    <col min="7" max="7" width="14.75" hidden="1" customWidth="1"/>
    <col min="8" max="8" width="13.75" hidden="1" customWidth="1"/>
    <col min="9" max="9" width="13" hidden="1" customWidth="1"/>
    <col min="10" max="10" width="12.5" hidden="1" customWidth="1"/>
    <col min="11" max="11" width="15.25" hidden="1" customWidth="1"/>
    <col min="12" max="12" width="17.875" customWidth="1"/>
  </cols>
  <sheetData>
    <row r="1" spans="1:12" ht="60" x14ac:dyDescent="0.25">
      <c r="A1" s="376"/>
      <c r="B1" s="377" t="s">
        <v>21</v>
      </c>
      <c r="C1" s="373" t="s">
        <v>678</v>
      </c>
      <c r="D1" s="47" t="s">
        <v>1351</v>
      </c>
      <c r="E1" s="162" t="s">
        <v>1352</v>
      </c>
      <c r="F1" s="143" t="s">
        <v>1510</v>
      </c>
      <c r="G1" s="143" t="s">
        <v>1494</v>
      </c>
      <c r="H1" s="143" t="s">
        <v>1505</v>
      </c>
      <c r="I1" s="47" t="s">
        <v>1587</v>
      </c>
      <c r="J1" s="144" t="s">
        <v>1568</v>
      </c>
      <c r="K1" s="276" t="s">
        <v>1634</v>
      </c>
      <c r="L1" s="276" t="s">
        <v>1686</v>
      </c>
    </row>
    <row r="2" spans="1:12" ht="15" x14ac:dyDescent="0.25">
      <c r="A2" s="378"/>
      <c r="B2" s="379"/>
      <c r="C2" s="305"/>
      <c r="D2" s="213"/>
      <c r="E2" s="233"/>
      <c r="F2" s="213"/>
      <c r="G2" s="213"/>
      <c r="H2" s="213"/>
      <c r="I2" s="305"/>
      <c r="J2" s="305">
        <v>0</v>
      </c>
      <c r="K2" s="574"/>
      <c r="L2" s="2"/>
    </row>
    <row r="3" spans="1:12" x14ac:dyDescent="0.2">
      <c r="A3" s="380" t="s">
        <v>989</v>
      </c>
      <c r="B3" s="380" t="s">
        <v>990</v>
      </c>
      <c r="C3" s="289">
        <v>500</v>
      </c>
      <c r="D3" s="213">
        <v>0</v>
      </c>
      <c r="E3" s="367">
        <v>500</v>
      </c>
      <c r="F3" s="289">
        <v>500</v>
      </c>
      <c r="G3" s="213"/>
      <c r="H3" s="289">
        <v>500</v>
      </c>
      <c r="I3" s="289">
        <v>500</v>
      </c>
      <c r="J3" s="305">
        <v>0</v>
      </c>
      <c r="K3" s="289">
        <v>500</v>
      </c>
      <c r="L3" s="289">
        <v>500</v>
      </c>
    </row>
    <row r="4" spans="1:12" x14ac:dyDescent="0.2">
      <c r="A4" s="380" t="s">
        <v>991</v>
      </c>
      <c r="B4" s="380" t="s">
        <v>992</v>
      </c>
      <c r="C4" s="289">
        <v>1500</v>
      </c>
      <c r="D4" s="213">
        <v>0</v>
      </c>
      <c r="E4" s="367">
        <v>2000</v>
      </c>
      <c r="F4" s="289">
        <v>2500</v>
      </c>
      <c r="G4" s="213"/>
      <c r="H4" s="289">
        <v>2500</v>
      </c>
      <c r="I4" s="289">
        <v>2500</v>
      </c>
      <c r="J4" s="305"/>
      <c r="K4" s="289">
        <v>2500</v>
      </c>
      <c r="L4" s="289">
        <v>2500</v>
      </c>
    </row>
    <row r="5" spans="1:12" ht="15" x14ac:dyDescent="0.25">
      <c r="A5" s="381"/>
      <c r="B5" s="377" t="s">
        <v>993</v>
      </c>
      <c r="C5" s="309"/>
      <c r="D5" s="161">
        <v>0</v>
      </c>
      <c r="E5" s="382"/>
      <c r="F5" s="309"/>
      <c r="G5" s="213"/>
      <c r="H5" s="309"/>
      <c r="I5" s="309"/>
      <c r="J5" s="305"/>
      <c r="K5" s="289"/>
      <c r="L5" s="289"/>
    </row>
    <row r="6" spans="1:12" x14ac:dyDescent="0.2">
      <c r="A6" s="380"/>
      <c r="B6" s="380"/>
      <c r="C6" s="289"/>
      <c r="D6" s="213"/>
      <c r="E6" s="367"/>
      <c r="F6" s="289"/>
      <c r="G6" s="213"/>
      <c r="H6" s="289"/>
      <c r="I6" s="289"/>
      <c r="J6" s="305">
        <v>0</v>
      </c>
      <c r="K6" s="289"/>
      <c r="L6" s="289"/>
    </row>
    <row r="7" spans="1:12" x14ac:dyDescent="0.2">
      <c r="A7" s="380" t="s">
        <v>994</v>
      </c>
      <c r="B7" s="380" t="s">
        <v>995</v>
      </c>
      <c r="C7" s="289">
        <v>1000</v>
      </c>
      <c r="D7" s="213">
        <v>0</v>
      </c>
      <c r="E7" s="367">
        <v>1000</v>
      </c>
      <c r="F7" s="289">
        <v>1000</v>
      </c>
      <c r="G7" s="213"/>
      <c r="H7" s="289">
        <v>1000</v>
      </c>
      <c r="I7" s="289">
        <v>1000</v>
      </c>
      <c r="J7" s="305">
        <v>500</v>
      </c>
      <c r="K7" s="289">
        <v>1000</v>
      </c>
      <c r="L7" s="289">
        <v>1000</v>
      </c>
    </row>
    <row r="8" spans="1:12" x14ac:dyDescent="0.2">
      <c r="A8" s="380" t="s">
        <v>996</v>
      </c>
      <c r="B8" s="380" t="s">
        <v>997</v>
      </c>
      <c r="C8" s="289">
        <v>2000</v>
      </c>
      <c r="D8" s="213">
        <v>0</v>
      </c>
      <c r="E8" s="367">
        <v>2000</v>
      </c>
      <c r="F8" s="289">
        <v>4000</v>
      </c>
      <c r="G8" s="213"/>
      <c r="H8" s="289">
        <v>4000</v>
      </c>
      <c r="I8" s="289">
        <v>4000</v>
      </c>
      <c r="J8" s="305">
        <v>0</v>
      </c>
      <c r="K8" s="289">
        <v>4000</v>
      </c>
      <c r="L8" s="289">
        <v>4000</v>
      </c>
    </row>
    <row r="9" spans="1:12" x14ac:dyDescent="0.2">
      <c r="A9" s="380" t="s">
        <v>998</v>
      </c>
      <c r="B9" s="380" t="s">
        <v>999</v>
      </c>
      <c r="C9" s="289">
        <v>6000</v>
      </c>
      <c r="D9" s="213">
        <v>0</v>
      </c>
      <c r="E9" s="367">
        <v>6000</v>
      </c>
      <c r="F9" s="289">
        <v>6000</v>
      </c>
      <c r="G9" s="213"/>
      <c r="H9" s="289">
        <v>6000</v>
      </c>
      <c r="I9" s="289">
        <v>6000</v>
      </c>
      <c r="J9" s="305">
        <v>0</v>
      </c>
      <c r="K9" s="289">
        <v>6000</v>
      </c>
      <c r="L9" s="289">
        <v>6000</v>
      </c>
    </row>
    <row r="10" spans="1:12" x14ac:dyDescent="0.2">
      <c r="A10" s="380" t="s">
        <v>1000</v>
      </c>
      <c r="B10" s="380" t="s">
        <v>1001</v>
      </c>
      <c r="C10" s="289">
        <v>550</v>
      </c>
      <c r="D10" s="213">
        <v>0</v>
      </c>
      <c r="E10" s="367">
        <v>550</v>
      </c>
      <c r="F10" s="289">
        <v>550</v>
      </c>
      <c r="G10" s="213"/>
      <c r="H10" s="289">
        <v>550</v>
      </c>
      <c r="I10" s="289">
        <v>550</v>
      </c>
      <c r="J10" s="305">
        <v>2740</v>
      </c>
      <c r="K10" s="289">
        <v>550</v>
      </c>
      <c r="L10" s="289">
        <v>550</v>
      </c>
    </row>
    <row r="11" spans="1:12" x14ac:dyDescent="0.2">
      <c r="A11" s="380" t="s">
        <v>1002</v>
      </c>
      <c r="B11" s="380" t="s">
        <v>1003</v>
      </c>
      <c r="C11" s="289">
        <v>1000</v>
      </c>
      <c r="D11" s="213">
        <v>0</v>
      </c>
      <c r="E11" s="367">
        <v>1000</v>
      </c>
      <c r="F11" s="289">
        <v>3000</v>
      </c>
      <c r="G11" s="213">
        <v>680</v>
      </c>
      <c r="H11" s="289">
        <v>3000</v>
      </c>
      <c r="I11" s="289">
        <v>3000</v>
      </c>
      <c r="J11" s="305"/>
      <c r="K11" s="289">
        <v>3000</v>
      </c>
      <c r="L11" s="289">
        <v>3000</v>
      </c>
    </row>
    <row r="12" spans="1:12" ht="15" x14ac:dyDescent="0.25">
      <c r="A12" s="381"/>
      <c r="B12" s="377" t="s">
        <v>1006</v>
      </c>
      <c r="C12" s="309"/>
      <c r="D12" s="161">
        <v>0</v>
      </c>
      <c r="E12" s="382"/>
      <c r="F12" s="309"/>
      <c r="G12" s="213"/>
      <c r="H12" s="309"/>
      <c r="I12" s="309"/>
      <c r="J12" s="305"/>
    </row>
    <row r="13" spans="1:12" ht="15" x14ac:dyDescent="0.25">
      <c r="A13" s="380"/>
      <c r="B13" s="380"/>
      <c r="C13" s="289"/>
      <c r="D13" s="213"/>
      <c r="E13" s="367"/>
      <c r="F13" s="289"/>
      <c r="G13" s="213"/>
      <c r="H13" s="289"/>
      <c r="I13" s="289"/>
      <c r="J13" s="305">
        <v>0</v>
      </c>
      <c r="K13" s="309"/>
      <c r="L13" s="309"/>
    </row>
    <row r="14" spans="1:12" x14ac:dyDescent="0.2">
      <c r="A14" s="380" t="s">
        <v>1007</v>
      </c>
      <c r="B14" s="380" t="s">
        <v>995</v>
      </c>
      <c r="C14" s="289">
        <v>600</v>
      </c>
      <c r="D14" s="213">
        <v>0</v>
      </c>
      <c r="E14" s="367">
        <v>600</v>
      </c>
      <c r="F14" s="289">
        <v>600</v>
      </c>
      <c r="G14" s="213"/>
      <c r="H14" s="289">
        <v>600</v>
      </c>
      <c r="I14" s="289">
        <v>600</v>
      </c>
      <c r="J14" s="305">
        <v>1390</v>
      </c>
      <c r="K14" s="289">
        <v>600</v>
      </c>
      <c r="L14" s="289">
        <v>600</v>
      </c>
    </row>
    <row r="15" spans="1:12" x14ac:dyDescent="0.2">
      <c r="A15" s="380" t="s">
        <v>1008</v>
      </c>
      <c r="B15" s="380" t="s">
        <v>1009</v>
      </c>
      <c r="C15" s="289">
        <v>3000</v>
      </c>
      <c r="D15" s="213">
        <v>500</v>
      </c>
      <c r="E15" s="367">
        <v>3000</v>
      </c>
      <c r="F15" s="289">
        <v>9000</v>
      </c>
      <c r="G15" s="213">
        <v>500</v>
      </c>
      <c r="H15" s="289">
        <v>9000</v>
      </c>
      <c r="I15" s="289">
        <v>9000</v>
      </c>
      <c r="J15" s="305">
        <v>0</v>
      </c>
      <c r="K15" s="289">
        <v>9000</v>
      </c>
      <c r="L15" s="289">
        <v>9000</v>
      </c>
    </row>
    <row r="16" spans="1:12" x14ac:dyDescent="0.2">
      <c r="A16" s="380" t="s">
        <v>1010</v>
      </c>
      <c r="B16" s="380" t="s">
        <v>999</v>
      </c>
      <c r="C16" s="289">
        <v>500</v>
      </c>
      <c r="D16" s="213">
        <v>0</v>
      </c>
      <c r="E16" s="367">
        <v>500</v>
      </c>
      <c r="F16" s="289">
        <v>500</v>
      </c>
      <c r="G16" s="213"/>
      <c r="H16" s="289">
        <v>500</v>
      </c>
      <c r="I16" s="289">
        <v>500</v>
      </c>
      <c r="J16" s="305">
        <v>0</v>
      </c>
      <c r="K16" s="289">
        <v>500</v>
      </c>
      <c r="L16" s="289">
        <v>500</v>
      </c>
    </row>
    <row r="17" spans="1:12" x14ac:dyDescent="0.2">
      <c r="A17" s="380" t="s">
        <v>1011</v>
      </c>
      <c r="B17" s="380" t="s">
        <v>1001</v>
      </c>
      <c r="C17" s="289">
        <v>300</v>
      </c>
      <c r="D17" s="213">
        <v>0</v>
      </c>
      <c r="E17" s="367">
        <v>300</v>
      </c>
      <c r="F17" s="289">
        <v>300</v>
      </c>
      <c r="G17" s="213"/>
      <c r="H17" s="289">
        <v>300</v>
      </c>
      <c r="I17" s="289">
        <v>300</v>
      </c>
      <c r="J17" s="305"/>
      <c r="K17" s="289">
        <v>300</v>
      </c>
      <c r="L17" s="289">
        <v>300</v>
      </c>
    </row>
    <row r="18" spans="1:12" x14ac:dyDescent="0.2">
      <c r="A18" s="380" t="s">
        <v>1004</v>
      </c>
      <c r="B18" s="380" t="s">
        <v>1005</v>
      </c>
      <c r="C18" s="289"/>
      <c r="D18" s="213">
        <v>0</v>
      </c>
      <c r="E18" s="367"/>
      <c r="F18" s="289"/>
      <c r="G18" s="213"/>
      <c r="H18" s="289"/>
      <c r="I18" s="289"/>
      <c r="J18" s="305"/>
      <c r="K18" s="289">
        <f>SUM(K14:K17)</f>
        <v>10400</v>
      </c>
      <c r="L18" s="289">
        <v>7000</v>
      </c>
    </row>
    <row r="19" spans="1:12" ht="15" x14ac:dyDescent="0.25">
      <c r="A19" s="381"/>
      <c r="B19" s="377" t="s">
        <v>1012</v>
      </c>
      <c r="C19" s="289"/>
      <c r="D19" s="161">
        <v>500</v>
      </c>
      <c r="E19" s="367"/>
      <c r="F19" s="289"/>
      <c r="G19" s="213"/>
      <c r="H19" s="289"/>
      <c r="I19" s="289"/>
      <c r="J19" s="305"/>
    </row>
    <row r="20" spans="1:12" x14ac:dyDescent="0.2">
      <c r="A20" s="380"/>
      <c r="B20" s="380"/>
      <c r="C20" s="289"/>
      <c r="D20" s="213"/>
      <c r="E20" s="367"/>
      <c r="F20" s="289"/>
      <c r="G20" s="213"/>
      <c r="H20" s="289"/>
      <c r="I20" s="289"/>
      <c r="J20" s="305"/>
      <c r="K20" s="289"/>
      <c r="L20" s="289"/>
    </row>
    <row r="21" spans="1:12" x14ac:dyDescent="0.2">
      <c r="A21" s="380" t="s">
        <v>1013</v>
      </c>
      <c r="B21" s="380" t="s">
        <v>1014</v>
      </c>
      <c r="C21" s="289">
        <v>500</v>
      </c>
      <c r="D21" s="213">
        <v>0</v>
      </c>
      <c r="E21" s="367">
        <v>500</v>
      </c>
      <c r="F21" s="289">
        <v>500</v>
      </c>
      <c r="G21" s="213"/>
      <c r="H21" s="289">
        <v>500</v>
      </c>
      <c r="I21" s="289">
        <v>500</v>
      </c>
      <c r="J21" s="305"/>
      <c r="K21" s="289">
        <v>500</v>
      </c>
      <c r="L21" s="289">
        <v>500</v>
      </c>
    </row>
    <row r="22" spans="1:12" x14ac:dyDescent="0.2">
      <c r="A22" s="380" t="s">
        <v>1015</v>
      </c>
      <c r="B22" s="380" t="s">
        <v>995</v>
      </c>
      <c r="C22" s="289">
        <v>1500</v>
      </c>
      <c r="D22" s="213">
        <v>0</v>
      </c>
      <c r="E22" s="367">
        <v>1500</v>
      </c>
      <c r="F22" s="289">
        <v>2500</v>
      </c>
      <c r="G22" s="213"/>
      <c r="H22" s="289">
        <v>2500</v>
      </c>
      <c r="I22" s="289">
        <v>2500</v>
      </c>
      <c r="J22" s="305">
        <v>0</v>
      </c>
      <c r="K22" s="289">
        <v>2500</v>
      </c>
      <c r="L22" s="289">
        <v>2500</v>
      </c>
    </row>
    <row r="23" spans="1:12" x14ac:dyDescent="0.2">
      <c r="A23" s="380" t="s">
        <v>1016</v>
      </c>
      <c r="B23" s="380" t="s">
        <v>1017</v>
      </c>
      <c r="C23" s="289">
        <v>10000</v>
      </c>
      <c r="D23" s="213">
        <v>1810</v>
      </c>
      <c r="E23" s="367">
        <v>10000</v>
      </c>
      <c r="F23" s="289">
        <v>10000</v>
      </c>
      <c r="G23" s="213">
        <v>1010</v>
      </c>
      <c r="H23" s="289">
        <v>10000</v>
      </c>
      <c r="I23" s="289">
        <v>10000</v>
      </c>
      <c r="J23" s="305">
        <v>4060.69</v>
      </c>
      <c r="K23" s="289">
        <v>10000</v>
      </c>
      <c r="L23" s="289">
        <v>10000</v>
      </c>
    </row>
    <row r="24" spans="1:12" x14ac:dyDescent="0.2">
      <c r="A24" s="380" t="s">
        <v>1018</v>
      </c>
      <c r="B24" s="380" t="s">
        <v>1019</v>
      </c>
      <c r="C24" s="289">
        <v>500</v>
      </c>
      <c r="D24" s="213">
        <v>0</v>
      </c>
      <c r="E24" s="367">
        <v>500</v>
      </c>
      <c r="F24" s="289">
        <v>500</v>
      </c>
      <c r="G24" s="213"/>
      <c r="H24" s="289">
        <v>500</v>
      </c>
      <c r="I24" s="289">
        <v>500</v>
      </c>
      <c r="J24" s="305">
        <v>0</v>
      </c>
      <c r="K24" s="289">
        <v>500</v>
      </c>
      <c r="L24" s="289">
        <v>500</v>
      </c>
    </row>
    <row r="25" spans="1:12" x14ac:dyDescent="0.2">
      <c r="A25" s="380" t="s">
        <v>1020</v>
      </c>
      <c r="B25" s="380" t="s">
        <v>1001</v>
      </c>
      <c r="C25" s="289">
        <v>400</v>
      </c>
      <c r="D25" s="213">
        <v>0</v>
      </c>
      <c r="E25" s="367">
        <v>400</v>
      </c>
      <c r="F25" s="289">
        <v>400</v>
      </c>
      <c r="G25" s="213"/>
      <c r="H25" s="289">
        <v>400</v>
      </c>
      <c r="I25" s="289">
        <v>400</v>
      </c>
      <c r="J25" s="305">
        <v>0</v>
      </c>
      <c r="K25" s="289">
        <v>400</v>
      </c>
      <c r="L25" s="289">
        <v>400</v>
      </c>
    </row>
    <row r="26" spans="1:12" x14ac:dyDescent="0.2">
      <c r="A26" s="380" t="s">
        <v>1021</v>
      </c>
      <c r="B26" s="380" t="s">
        <v>1003</v>
      </c>
      <c r="C26" s="289">
        <v>200</v>
      </c>
      <c r="D26" s="213">
        <v>0</v>
      </c>
      <c r="E26" s="367">
        <v>200</v>
      </c>
      <c r="F26" s="289">
        <v>200</v>
      </c>
      <c r="G26" s="213"/>
      <c r="H26" s="289">
        <v>200</v>
      </c>
      <c r="I26" s="289">
        <v>200</v>
      </c>
      <c r="J26" s="305">
        <v>0</v>
      </c>
      <c r="K26" s="289">
        <v>200</v>
      </c>
      <c r="L26" s="289">
        <v>200</v>
      </c>
    </row>
    <row r="27" spans="1:12" x14ac:dyDescent="0.2">
      <c r="A27" s="380" t="s">
        <v>1022</v>
      </c>
      <c r="B27" s="380" t="s">
        <v>1023</v>
      </c>
      <c r="C27" s="289">
        <v>750</v>
      </c>
      <c r="D27" s="213">
        <v>0</v>
      </c>
      <c r="E27" s="367">
        <v>750</v>
      </c>
      <c r="F27" s="289">
        <v>750</v>
      </c>
      <c r="G27" s="213"/>
      <c r="H27" s="289">
        <v>750</v>
      </c>
      <c r="I27" s="289">
        <v>750</v>
      </c>
      <c r="J27" s="305">
        <v>0</v>
      </c>
      <c r="K27" s="289">
        <v>750</v>
      </c>
      <c r="L27" s="289">
        <v>750</v>
      </c>
    </row>
    <row r="28" spans="1:12" x14ac:dyDescent="0.2">
      <c r="A28" s="380" t="s">
        <v>1004</v>
      </c>
      <c r="B28" s="380" t="s">
        <v>1005</v>
      </c>
      <c r="C28" s="289">
        <v>600</v>
      </c>
      <c r="D28" s="213">
        <v>50</v>
      </c>
      <c r="E28" s="367">
        <v>600</v>
      </c>
      <c r="F28" s="289">
        <v>1200</v>
      </c>
      <c r="G28" s="213">
        <v>50</v>
      </c>
      <c r="H28" s="289">
        <v>1200</v>
      </c>
      <c r="I28" s="289">
        <v>1200</v>
      </c>
      <c r="J28" s="305">
        <v>0</v>
      </c>
      <c r="K28" s="289">
        <v>1200</v>
      </c>
      <c r="L28" s="289">
        <v>1200</v>
      </c>
    </row>
    <row r="29" spans="1:12" x14ac:dyDescent="0.2">
      <c r="A29" s="380" t="s">
        <v>1024</v>
      </c>
      <c r="B29" s="380" t="s">
        <v>1025</v>
      </c>
      <c r="C29" s="289">
        <v>5000</v>
      </c>
      <c r="D29" s="213">
        <v>0</v>
      </c>
      <c r="E29" s="367">
        <v>5000</v>
      </c>
      <c r="F29" s="289">
        <v>4000</v>
      </c>
      <c r="G29" s="213">
        <v>300</v>
      </c>
      <c r="H29" s="289">
        <v>4000</v>
      </c>
      <c r="I29" s="289">
        <v>4000</v>
      </c>
      <c r="J29" s="305">
        <v>1300</v>
      </c>
      <c r="K29" s="289">
        <v>4000</v>
      </c>
      <c r="L29" s="289">
        <v>4000</v>
      </c>
    </row>
    <row r="30" spans="1:12" ht="28.5" x14ac:dyDescent="0.2">
      <c r="A30" s="380"/>
      <c r="B30" s="601" t="s">
        <v>1678</v>
      </c>
      <c r="C30" s="289"/>
      <c r="D30" s="213"/>
      <c r="E30" s="367"/>
      <c r="F30" s="289"/>
      <c r="G30" s="213"/>
      <c r="H30" s="289"/>
      <c r="I30" s="289"/>
      <c r="J30" s="305"/>
      <c r="K30" s="289"/>
      <c r="L30" s="289">
        <v>5000</v>
      </c>
    </row>
    <row r="31" spans="1:12" ht="15" x14ac:dyDescent="0.25">
      <c r="A31" s="381"/>
      <c r="B31" s="377" t="s">
        <v>1026</v>
      </c>
      <c r="C31" s="356"/>
      <c r="D31" s="161">
        <v>1860</v>
      </c>
      <c r="E31" s="383"/>
      <c r="F31" s="356"/>
      <c r="G31" s="213"/>
      <c r="H31" s="356"/>
      <c r="I31" s="356"/>
      <c r="J31" s="305"/>
      <c r="K31" s="2"/>
      <c r="L31" s="2"/>
    </row>
    <row r="32" spans="1:12" ht="15" x14ac:dyDescent="0.25">
      <c r="A32" s="381"/>
      <c r="B32" s="381" t="s">
        <v>169</v>
      </c>
      <c r="C32" s="384">
        <f>SUM(C3:C31)</f>
        <v>36400</v>
      </c>
      <c r="D32" s="161">
        <v>2360</v>
      </c>
      <c r="E32" s="385">
        <f>SUM(E3:E31)</f>
        <v>36900</v>
      </c>
      <c r="F32" s="384">
        <f>SUM(F3:F31)</f>
        <v>48000</v>
      </c>
      <c r="G32" s="161">
        <f>SUM(G3:G31)</f>
        <v>2540</v>
      </c>
      <c r="H32" s="384">
        <f>SUM(H3:H31)</f>
        <v>48000</v>
      </c>
      <c r="I32" s="384">
        <f>SUM(I3:I29)</f>
        <v>48000</v>
      </c>
      <c r="J32" s="384">
        <f>SUM(J3:J31)</f>
        <v>9990.69</v>
      </c>
      <c r="K32" s="384">
        <f>SUM(K2:K29)</f>
        <v>58400</v>
      </c>
      <c r="L32" s="384">
        <f>SUM(L2:L30)</f>
        <v>60000</v>
      </c>
    </row>
    <row r="33" spans="1:12" x14ac:dyDescent="0.2">
      <c r="A33" s="380"/>
      <c r="B33" s="386"/>
      <c r="C33" s="354"/>
      <c r="D33" s="213"/>
      <c r="E33" s="342"/>
      <c r="F33" s="305"/>
      <c r="G33" s="213"/>
      <c r="H33" s="213"/>
      <c r="I33" s="305"/>
      <c r="J33" s="305"/>
      <c r="K33" s="356"/>
      <c r="L33" s="356"/>
    </row>
    <row r="34" spans="1:12" x14ac:dyDescent="0.2">
      <c r="A34" s="112"/>
      <c r="B34" s="113"/>
      <c r="C34" s="52"/>
    </row>
    <row r="35" spans="1:12" x14ac:dyDescent="0.2">
      <c r="A35" s="112"/>
      <c r="B35" s="113"/>
      <c r="C35" s="52"/>
    </row>
    <row r="36" spans="1:12" x14ac:dyDescent="0.2">
      <c r="A36" s="115"/>
      <c r="B36" s="116"/>
      <c r="K36" s="29"/>
    </row>
  </sheetData>
  <phoneticPr fontId="24" type="noConversion"/>
  <pageMargins left="0.25" right="0.25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"/>
  <sheetViews>
    <sheetView workbookViewId="0">
      <selection activeCell="L1" sqref="L1"/>
    </sheetView>
  </sheetViews>
  <sheetFormatPr defaultRowHeight="14.25" x14ac:dyDescent="0.2"/>
  <cols>
    <col min="1" max="1" width="10.75" style="110" customWidth="1"/>
    <col min="2" max="2" width="26" style="18" customWidth="1"/>
    <col min="3" max="3" width="11.75" hidden="1" customWidth="1"/>
    <col min="4" max="4" width="11" hidden="1" customWidth="1"/>
    <col min="5" max="5" width="12" hidden="1" customWidth="1"/>
    <col min="6" max="6" width="11.75" hidden="1" customWidth="1"/>
    <col min="7" max="7" width="18" hidden="1" customWidth="1"/>
    <col min="8" max="8" width="13.375" hidden="1" customWidth="1"/>
    <col min="9" max="9" width="11.75" hidden="1" customWidth="1"/>
    <col min="10" max="10" width="14.25" hidden="1" customWidth="1"/>
    <col min="11" max="11" width="11.5" customWidth="1"/>
    <col min="12" max="12" width="12.75" customWidth="1"/>
  </cols>
  <sheetData>
    <row r="1" spans="1:12" ht="60" x14ac:dyDescent="0.25">
      <c r="A1" s="11"/>
      <c r="B1" s="12" t="s">
        <v>22</v>
      </c>
      <c r="C1" s="20" t="s">
        <v>678</v>
      </c>
      <c r="D1" s="47" t="s">
        <v>1351</v>
      </c>
      <c r="E1" s="162" t="s">
        <v>1352</v>
      </c>
      <c r="F1" s="143" t="s">
        <v>1508</v>
      </c>
      <c r="G1" s="143" t="s">
        <v>1494</v>
      </c>
      <c r="H1" s="143" t="s">
        <v>1545</v>
      </c>
      <c r="I1" s="47" t="s">
        <v>1587</v>
      </c>
      <c r="J1" s="276" t="s">
        <v>1568</v>
      </c>
      <c r="K1" s="276" t="s">
        <v>1634</v>
      </c>
      <c r="L1" s="276" t="s">
        <v>1686</v>
      </c>
    </row>
    <row r="2" spans="1:12" x14ac:dyDescent="0.2">
      <c r="A2" s="117"/>
      <c r="B2" s="118"/>
      <c r="C2" s="2"/>
      <c r="D2" s="151"/>
      <c r="E2" s="163"/>
      <c r="F2" s="2"/>
      <c r="G2" s="151"/>
      <c r="H2" s="151"/>
      <c r="I2" s="3"/>
      <c r="J2" s="2"/>
      <c r="K2" s="2"/>
      <c r="L2" s="2"/>
    </row>
    <row r="3" spans="1:12" x14ac:dyDescent="0.2">
      <c r="A3" s="13" t="s">
        <v>1027</v>
      </c>
      <c r="B3" s="14" t="s">
        <v>22</v>
      </c>
      <c r="C3" s="48">
        <v>70000</v>
      </c>
      <c r="D3" s="151">
        <v>52500</v>
      </c>
      <c r="E3" s="90">
        <v>70000</v>
      </c>
      <c r="F3" s="3">
        <v>80000</v>
      </c>
      <c r="G3" s="151">
        <v>60000</v>
      </c>
      <c r="H3" s="151">
        <v>80000</v>
      </c>
      <c r="I3" s="3">
        <v>80000</v>
      </c>
      <c r="J3" s="3">
        <v>60000</v>
      </c>
      <c r="K3" s="3">
        <v>80000</v>
      </c>
      <c r="L3" s="3">
        <v>80000</v>
      </c>
    </row>
    <row r="4" spans="1:12" ht="15" x14ac:dyDescent="0.25">
      <c r="A4" s="11"/>
      <c r="B4" s="17" t="s">
        <v>169</v>
      </c>
      <c r="C4" s="51">
        <f>SUM(C3)</f>
        <v>70000</v>
      </c>
      <c r="D4" s="161">
        <v>52500</v>
      </c>
      <c r="E4" s="142">
        <f>SUM(E2:E3)</f>
        <v>70000</v>
      </c>
      <c r="F4" s="4">
        <f>SUM(F2:F3)</f>
        <v>80000</v>
      </c>
      <c r="G4" s="161">
        <f>SUM(G3:G3)</f>
        <v>60000</v>
      </c>
      <c r="H4" s="4">
        <f>SUM(H2:H3)</f>
        <v>80000</v>
      </c>
      <c r="I4" s="4">
        <f>SUM(I2:I3)</f>
        <v>80000</v>
      </c>
      <c r="J4" s="4">
        <f>SUM(J2:J3)</f>
        <v>60000</v>
      </c>
      <c r="K4" s="4">
        <f>SUM(K2:K3)</f>
        <v>80000</v>
      </c>
      <c r="L4" s="4">
        <f>SUM(L2:L3)</f>
        <v>80000</v>
      </c>
    </row>
    <row r="5" spans="1:12" x14ac:dyDescent="0.2">
      <c r="A5" s="13"/>
      <c r="B5" s="14"/>
      <c r="C5" s="2"/>
      <c r="D5" s="151"/>
      <c r="E5" s="163"/>
      <c r="F5" s="2"/>
      <c r="G5" s="151"/>
      <c r="H5" s="151"/>
      <c r="I5" s="3"/>
      <c r="J5" s="2"/>
      <c r="K5" s="2"/>
      <c r="L5" s="2"/>
    </row>
    <row r="6" spans="1:12" x14ac:dyDescent="0.2">
      <c r="A6" s="13"/>
      <c r="B6" s="14"/>
      <c r="C6" s="2"/>
      <c r="D6" s="151"/>
      <c r="E6" s="163"/>
      <c r="F6" s="2"/>
      <c r="G6" s="151"/>
      <c r="H6" s="151"/>
      <c r="I6" s="3"/>
      <c r="J6" s="2"/>
      <c r="K6" s="2"/>
      <c r="L6" s="2"/>
    </row>
  </sheetData>
  <phoneticPr fontId="24" type="noConversion"/>
  <pageMargins left="0.25" right="0.25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K55"/>
  <sheetViews>
    <sheetView zoomScale="115" zoomScaleNormal="115" workbookViewId="0">
      <selection activeCell="J19" sqref="J1:J1048576"/>
    </sheetView>
  </sheetViews>
  <sheetFormatPr defaultRowHeight="14.25" x14ac:dyDescent="0.2"/>
  <cols>
    <col min="1" max="1" width="10.5" style="119" customWidth="1"/>
    <col min="2" max="2" width="32.875" style="120" customWidth="1"/>
    <col min="3" max="3" width="12.5" style="39" hidden="1" customWidth="1"/>
    <col min="4" max="4" width="12" hidden="1" customWidth="1"/>
    <col min="5" max="5" width="12.75" hidden="1" customWidth="1"/>
    <col min="6" max="6" width="11.75" hidden="1" customWidth="1"/>
    <col min="7" max="7" width="1.875" hidden="1" customWidth="1"/>
    <col min="8" max="8" width="17.375" hidden="1" customWidth="1"/>
    <col min="9" max="9" width="12.375" hidden="1" customWidth="1"/>
    <col min="10" max="10" width="13.5" hidden="1" customWidth="1"/>
    <col min="11" max="11" width="12.875" customWidth="1"/>
  </cols>
  <sheetData>
    <row r="2" spans="1:11" ht="43.5" customHeight="1" x14ac:dyDescent="0.25">
      <c r="A2" s="85"/>
      <c r="B2" s="86" t="s">
        <v>23</v>
      </c>
      <c r="C2" s="21" t="s">
        <v>268</v>
      </c>
      <c r="D2" s="47" t="s">
        <v>1351</v>
      </c>
      <c r="E2" s="47" t="s">
        <v>1352</v>
      </c>
      <c r="F2" s="143" t="s">
        <v>1508</v>
      </c>
      <c r="G2" s="143" t="s">
        <v>1546</v>
      </c>
      <c r="H2" s="143" t="s">
        <v>1613</v>
      </c>
      <c r="I2" s="47" t="s">
        <v>1568</v>
      </c>
      <c r="J2" s="143" t="s">
        <v>1634</v>
      </c>
      <c r="K2" s="143" t="s">
        <v>1686</v>
      </c>
    </row>
    <row r="3" spans="1:11" x14ac:dyDescent="0.2">
      <c r="A3" s="87"/>
      <c r="B3" s="89"/>
      <c r="C3" s="44"/>
      <c r="D3" s="151"/>
      <c r="E3" s="151"/>
      <c r="F3" s="2"/>
      <c r="G3" s="3"/>
      <c r="H3" s="3"/>
      <c r="I3" s="2"/>
      <c r="J3" s="2"/>
      <c r="K3" s="2"/>
    </row>
    <row r="4" spans="1:11" x14ac:dyDescent="0.2">
      <c r="A4" s="87" t="s">
        <v>1028</v>
      </c>
      <c r="B4" s="87" t="s">
        <v>1409</v>
      </c>
      <c r="C4" s="48">
        <v>450</v>
      </c>
      <c r="D4" s="151">
        <v>225</v>
      </c>
      <c r="E4" s="37">
        <v>450</v>
      </c>
      <c r="F4" s="37">
        <v>1000</v>
      </c>
      <c r="G4" s="151">
        <v>525.04</v>
      </c>
      <c r="H4" s="37">
        <v>1000</v>
      </c>
      <c r="I4" s="37">
        <v>520.87</v>
      </c>
      <c r="J4" s="37">
        <v>1000</v>
      </c>
      <c r="K4" s="37">
        <v>1000</v>
      </c>
    </row>
    <row r="5" spans="1:11" x14ac:dyDescent="0.2">
      <c r="A5" s="87" t="s">
        <v>1029</v>
      </c>
      <c r="B5" s="87" t="s">
        <v>1030</v>
      </c>
      <c r="C5" s="48">
        <v>24900</v>
      </c>
      <c r="D5" s="151">
        <v>15813.73</v>
      </c>
      <c r="E5" s="37">
        <v>30000</v>
      </c>
      <c r="F5" s="37">
        <v>30000</v>
      </c>
      <c r="G5" s="151">
        <v>7835.12</v>
      </c>
      <c r="H5" s="37">
        <v>30000</v>
      </c>
      <c r="I5" s="37">
        <v>5513.45</v>
      </c>
      <c r="J5" s="37">
        <v>30000</v>
      </c>
      <c r="K5" s="37">
        <v>30000</v>
      </c>
    </row>
    <row r="6" spans="1:11" x14ac:dyDescent="0.2">
      <c r="A6" s="87" t="s">
        <v>1031</v>
      </c>
      <c r="B6" s="87" t="s">
        <v>1032</v>
      </c>
      <c r="C6" s="48">
        <v>20000</v>
      </c>
      <c r="D6" s="151">
        <v>1825</v>
      </c>
      <c r="E6" s="37">
        <v>12000</v>
      </c>
      <c r="F6" s="37">
        <v>12000</v>
      </c>
      <c r="G6" s="151">
        <v>10060</v>
      </c>
      <c r="H6" s="37">
        <v>30000</v>
      </c>
      <c r="I6" s="37">
        <v>14720</v>
      </c>
      <c r="J6" s="37">
        <v>30000</v>
      </c>
      <c r="K6" s="37">
        <v>30000</v>
      </c>
    </row>
    <row r="7" spans="1:11" x14ac:dyDescent="0.2">
      <c r="A7" s="87" t="s">
        <v>1033</v>
      </c>
      <c r="B7" s="87" t="s">
        <v>1034</v>
      </c>
      <c r="C7" s="48">
        <v>2500</v>
      </c>
      <c r="D7" s="151">
        <v>1680</v>
      </c>
      <c r="E7" s="37">
        <v>5000</v>
      </c>
      <c r="F7" s="37">
        <v>12000</v>
      </c>
      <c r="G7" s="151">
        <v>600</v>
      </c>
      <c r="H7" s="37">
        <v>12000</v>
      </c>
      <c r="I7" s="37">
        <v>3000</v>
      </c>
      <c r="J7" s="37">
        <v>12000</v>
      </c>
      <c r="K7" s="37">
        <v>12000</v>
      </c>
    </row>
    <row r="8" spans="1:11" x14ac:dyDescent="0.2">
      <c r="A8" s="87" t="s">
        <v>1035</v>
      </c>
      <c r="B8" s="87" t="s">
        <v>1036</v>
      </c>
      <c r="C8" s="48">
        <v>6500</v>
      </c>
      <c r="D8" s="151">
        <v>1036.54</v>
      </c>
      <c r="E8" s="37">
        <v>5000</v>
      </c>
      <c r="F8" s="37">
        <v>0</v>
      </c>
      <c r="G8" s="151">
        <v>0</v>
      </c>
      <c r="H8" s="37">
        <v>0</v>
      </c>
      <c r="I8" s="37">
        <v>9550</v>
      </c>
      <c r="J8" s="37">
        <v>10000</v>
      </c>
      <c r="K8" s="37">
        <v>10000</v>
      </c>
    </row>
    <row r="9" spans="1:11" x14ac:dyDescent="0.2">
      <c r="A9" s="87" t="s">
        <v>1037</v>
      </c>
      <c r="B9" s="87" t="s">
        <v>1038</v>
      </c>
      <c r="C9" s="48">
        <v>1000</v>
      </c>
      <c r="D9" s="151">
        <v>0</v>
      </c>
      <c r="E9" s="37">
        <v>600</v>
      </c>
      <c r="F9" s="37">
        <v>600</v>
      </c>
      <c r="G9" s="151">
        <v>0</v>
      </c>
      <c r="H9" s="37">
        <v>600</v>
      </c>
      <c r="I9" s="37">
        <v>0</v>
      </c>
      <c r="J9" s="37">
        <v>600</v>
      </c>
      <c r="K9" s="37">
        <v>600</v>
      </c>
    </row>
    <row r="10" spans="1:11" x14ac:dyDescent="0.2">
      <c r="A10" s="87" t="s">
        <v>1039</v>
      </c>
      <c r="B10" s="87" t="s">
        <v>1001</v>
      </c>
      <c r="C10" s="48">
        <v>1000</v>
      </c>
      <c r="D10" s="151">
        <v>1100</v>
      </c>
      <c r="E10" s="37">
        <v>1000</v>
      </c>
      <c r="F10" s="37">
        <v>1000</v>
      </c>
      <c r="G10" s="151">
        <v>0</v>
      </c>
      <c r="H10" s="37">
        <v>1000</v>
      </c>
      <c r="I10" s="37">
        <v>0</v>
      </c>
      <c r="J10" s="37">
        <v>1000</v>
      </c>
      <c r="K10" s="37">
        <v>1000</v>
      </c>
    </row>
    <row r="11" spans="1:11" x14ac:dyDescent="0.2">
      <c r="A11" s="87" t="s">
        <v>1040</v>
      </c>
      <c r="B11" s="87" t="s">
        <v>334</v>
      </c>
      <c r="C11" s="48">
        <v>7500</v>
      </c>
      <c r="D11" s="151">
        <v>1362.25</v>
      </c>
      <c r="E11" s="37">
        <v>5000</v>
      </c>
      <c r="F11" s="37">
        <v>5000</v>
      </c>
      <c r="G11" s="151">
        <v>2379</v>
      </c>
      <c r="H11" s="37">
        <v>5000</v>
      </c>
      <c r="I11" s="37">
        <v>1371.45</v>
      </c>
      <c r="J11" s="37">
        <v>5000</v>
      </c>
      <c r="K11" s="37">
        <v>5000</v>
      </c>
    </row>
    <row r="12" spans="1:11" x14ac:dyDescent="0.2">
      <c r="A12" s="87" t="s">
        <v>1041</v>
      </c>
      <c r="B12" s="87" t="s">
        <v>1005</v>
      </c>
      <c r="C12" s="48">
        <v>700</v>
      </c>
      <c r="D12" s="151">
        <v>0</v>
      </c>
      <c r="E12" s="37">
        <v>700</v>
      </c>
      <c r="F12" s="37">
        <v>700</v>
      </c>
      <c r="G12" s="151">
        <v>0</v>
      </c>
      <c r="H12" s="37">
        <v>700</v>
      </c>
      <c r="I12" s="37">
        <v>0</v>
      </c>
      <c r="J12" s="37">
        <v>700</v>
      </c>
      <c r="K12" s="37">
        <v>700</v>
      </c>
    </row>
    <row r="13" spans="1:11" x14ac:dyDescent="0.2">
      <c r="A13" s="87" t="s">
        <v>1374</v>
      </c>
      <c r="B13" s="87" t="s">
        <v>1042</v>
      </c>
      <c r="C13" s="48">
        <v>415.37</v>
      </c>
      <c r="D13" s="151">
        <v>0</v>
      </c>
      <c r="E13" s="37">
        <v>415.37</v>
      </c>
      <c r="F13" s="37">
        <v>664.93</v>
      </c>
      <c r="G13" s="151">
        <v>0</v>
      </c>
      <c r="H13" s="37">
        <v>674.04</v>
      </c>
      <c r="I13" s="37">
        <v>0</v>
      </c>
      <c r="J13" s="37">
        <v>674.04</v>
      </c>
      <c r="K13" s="37">
        <v>674.04</v>
      </c>
    </row>
    <row r="14" spans="1:11" x14ac:dyDescent="0.2">
      <c r="A14" s="87" t="s">
        <v>1043</v>
      </c>
      <c r="B14" s="87" t="s">
        <v>1044</v>
      </c>
      <c r="C14" s="48">
        <v>1800</v>
      </c>
      <c r="D14" s="151">
        <v>1867.12</v>
      </c>
      <c r="E14" s="37">
        <v>2650</v>
      </c>
      <c r="F14" s="37">
        <v>2255.5</v>
      </c>
      <c r="G14" s="151">
        <v>2255.5</v>
      </c>
      <c r="H14" s="37">
        <v>2255.5</v>
      </c>
      <c r="I14" s="37">
        <v>2255.5</v>
      </c>
      <c r="J14" s="37">
        <v>1796</v>
      </c>
      <c r="K14" s="37">
        <v>1796</v>
      </c>
    </row>
    <row r="15" spans="1:11" x14ac:dyDescent="0.2">
      <c r="A15" s="87" t="s">
        <v>1045</v>
      </c>
      <c r="B15" s="87" t="s">
        <v>1046</v>
      </c>
      <c r="C15" s="48"/>
      <c r="D15" s="151">
        <v>0</v>
      </c>
      <c r="E15" s="37"/>
      <c r="F15" s="37">
        <v>0</v>
      </c>
      <c r="G15" s="151">
        <v>0</v>
      </c>
      <c r="H15" s="37">
        <v>5000</v>
      </c>
      <c r="I15" s="37">
        <v>0</v>
      </c>
      <c r="J15" s="37">
        <v>5000</v>
      </c>
      <c r="K15" s="37">
        <v>5000</v>
      </c>
    </row>
    <row r="16" spans="1:11" x14ac:dyDescent="0.2">
      <c r="A16" s="87" t="s">
        <v>1047</v>
      </c>
      <c r="B16" s="87" t="s">
        <v>345</v>
      </c>
      <c r="C16" s="48">
        <v>0</v>
      </c>
      <c r="D16" s="151">
        <v>0</v>
      </c>
      <c r="E16" s="37"/>
      <c r="F16" s="37">
        <v>0</v>
      </c>
      <c r="G16" s="151">
        <v>0</v>
      </c>
      <c r="H16" s="37">
        <v>0</v>
      </c>
      <c r="I16" s="37">
        <v>0</v>
      </c>
      <c r="J16" s="37">
        <v>0</v>
      </c>
      <c r="K16" s="37">
        <v>0</v>
      </c>
    </row>
    <row r="17" spans="1:11" x14ac:dyDescent="0.2">
      <c r="A17" s="87"/>
      <c r="B17" s="87" t="s">
        <v>1677</v>
      </c>
      <c r="C17" s="48"/>
      <c r="D17" s="151"/>
      <c r="E17" s="37"/>
      <c r="F17" s="37"/>
      <c r="G17" s="151"/>
      <c r="H17" s="37"/>
      <c r="I17" s="37"/>
      <c r="J17" s="37"/>
      <c r="K17" s="37">
        <v>40000</v>
      </c>
    </row>
    <row r="18" spans="1:11" ht="15" x14ac:dyDescent="0.25">
      <c r="A18" s="85"/>
      <c r="B18" s="85" t="s">
        <v>1048</v>
      </c>
      <c r="C18" s="51">
        <f t="shared" ref="C18:I18" si="0">SUM(C4:C16)</f>
        <v>66765.37</v>
      </c>
      <c r="D18" s="161">
        <f t="shared" si="0"/>
        <v>24909.64</v>
      </c>
      <c r="E18" s="161">
        <f t="shared" si="0"/>
        <v>62815.37</v>
      </c>
      <c r="F18" s="161">
        <f t="shared" si="0"/>
        <v>65220.43</v>
      </c>
      <c r="G18" s="161">
        <f t="shared" si="0"/>
        <v>23654.66</v>
      </c>
      <c r="H18" s="161">
        <f t="shared" si="0"/>
        <v>88229.54</v>
      </c>
      <c r="I18" s="161">
        <f t="shared" si="0"/>
        <v>36931.269999999997</v>
      </c>
      <c r="J18" s="224">
        <f>SUM(J4:J16)</f>
        <v>97770.04</v>
      </c>
      <c r="K18" s="224">
        <f>SUM(K4:K17)</f>
        <v>137770.03999999998</v>
      </c>
    </row>
    <row r="19" spans="1:11" x14ac:dyDescent="0.2">
      <c r="A19" s="87"/>
      <c r="B19" s="87"/>
      <c r="C19" s="6"/>
      <c r="D19" s="151"/>
      <c r="E19" s="151"/>
      <c r="F19" s="151"/>
      <c r="G19" s="151"/>
      <c r="H19" s="151"/>
      <c r="I19" s="151"/>
      <c r="J19" s="151"/>
      <c r="K19" s="2"/>
    </row>
    <row r="20" spans="1:11" x14ac:dyDescent="0.2">
      <c r="A20" s="87"/>
      <c r="B20" s="87"/>
      <c r="C20" s="6"/>
      <c r="D20" s="151"/>
      <c r="E20" s="151"/>
      <c r="F20" s="151"/>
      <c r="G20" s="151"/>
      <c r="H20" s="151"/>
      <c r="I20" s="151"/>
      <c r="J20" s="151"/>
      <c r="K20" s="2"/>
    </row>
    <row r="21" spans="1:11" x14ac:dyDescent="0.2">
      <c r="K21" s="2"/>
    </row>
    <row r="22" spans="1:11" ht="62.25" customHeight="1" x14ac:dyDescent="0.25">
      <c r="A22" s="87"/>
      <c r="B22" s="86" t="s">
        <v>23</v>
      </c>
      <c r="C22" s="6"/>
      <c r="D22" s="151"/>
      <c r="E22" s="151"/>
      <c r="F22" s="20" t="s">
        <v>1504</v>
      </c>
      <c r="G22" s="143" t="s">
        <v>1494</v>
      </c>
      <c r="H22" s="143" t="s">
        <v>1594</v>
      </c>
      <c r="I22" s="47" t="s">
        <v>1568</v>
      </c>
      <c r="J22" s="143" t="s">
        <v>1639</v>
      </c>
      <c r="K22" s="143" t="s">
        <v>1686</v>
      </c>
    </row>
    <row r="23" spans="1:11" x14ac:dyDescent="0.2">
      <c r="A23" s="87"/>
      <c r="B23" s="85"/>
      <c r="C23" s="6"/>
      <c r="D23" s="151"/>
      <c r="E23" s="151"/>
      <c r="F23" s="151"/>
      <c r="G23" s="3"/>
      <c r="H23" s="3"/>
      <c r="I23" s="3"/>
      <c r="J23" s="3"/>
      <c r="K23" s="2"/>
    </row>
    <row r="24" spans="1:11" x14ac:dyDescent="0.2">
      <c r="A24" s="87" t="s">
        <v>1049</v>
      </c>
      <c r="B24" s="87" t="s">
        <v>1050</v>
      </c>
      <c r="C24" s="42">
        <v>450</v>
      </c>
      <c r="D24" s="151">
        <v>225</v>
      </c>
      <c r="E24" s="151">
        <v>450</v>
      </c>
      <c r="F24" s="151">
        <v>1000</v>
      </c>
      <c r="G24" s="151">
        <v>525.04</v>
      </c>
      <c r="H24" s="151">
        <v>1000</v>
      </c>
      <c r="I24" s="151">
        <v>520.87</v>
      </c>
      <c r="J24" s="151">
        <v>1000</v>
      </c>
      <c r="K24" s="151">
        <v>1000</v>
      </c>
    </row>
    <row r="25" spans="1:11" x14ac:dyDescent="0.2">
      <c r="A25" s="87" t="s">
        <v>1051</v>
      </c>
      <c r="B25" s="87" t="s">
        <v>1030</v>
      </c>
      <c r="C25" s="42">
        <v>24900</v>
      </c>
      <c r="D25" s="151">
        <v>14072.63</v>
      </c>
      <c r="E25" s="151">
        <v>30000</v>
      </c>
      <c r="F25" s="151">
        <v>30000</v>
      </c>
      <c r="G25" s="151">
        <v>8460.16</v>
      </c>
      <c r="H25" s="151">
        <v>30000</v>
      </c>
      <c r="I25" s="151">
        <v>9495.25</v>
      </c>
      <c r="J25" s="151">
        <v>30000</v>
      </c>
      <c r="K25" s="151">
        <v>30000</v>
      </c>
    </row>
    <row r="26" spans="1:11" x14ac:dyDescent="0.2">
      <c r="A26" s="87" t="s">
        <v>1052</v>
      </c>
      <c r="B26" s="87" t="s">
        <v>1032</v>
      </c>
      <c r="C26" s="42">
        <v>25000</v>
      </c>
      <c r="D26" s="151">
        <v>8480</v>
      </c>
      <c r="E26" s="151">
        <v>15000</v>
      </c>
      <c r="F26" s="151">
        <v>10000</v>
      </c>
      <c r="G26" s="151">
        <v>14452</v>
      </c>
      <c r="H26" s="151">
        <v>30000</v>
      </c>
      <c r="I26" s="151">
        <v>9930</v>
      </c>
      <c r="J26" s="151">
        <v>30000</v>
      </c>
      <c r="K26" s="151">
        <v>30000</v>
      </c>
    </row>
    <row r="27" spans="1:11" x14ac:dyDescent="0.2">
      <c r="A27" s="87" t="s">
        <v>1053</v>
      </c>
      <c r="B27" s="87" t="s">
        <v>1034</v>
      </c>
      <c r="C27" s="42">
        <v>3000</v>
      </c>
      <c r="D27" s="151">
        <v>2400</v>
      </c>
      <c r="E27" s="151">
        <v>5000</v>
      </c>
      <c r="F27" s="151">
        <v>15000</v>
      </c>
      <c r="G27" s="151">
        <v>300</v>
      </c>
      <c r="H27" s="151">
        <v>15000</v>
      </c>
      <c r="I27" s="151">
        <v>3300</v>
      </c>
      <c r="J27" s="151">
        <v>15000</v>
      </c>
      <c r="K27" s="151">
        <v>15000</v>
      </c>
    </row>
    <row r="28" spans="1:11" x14ac:dyDescent="0.2">
      <c r="A28" s="87" t="s">
        <v>1054</v>
      </c>
      <c r="B28" s="87" t="s">
        <v>1036</v>
      </c>
      <c r="C28" s="42">
        <v>1000</v>
      </c>
      <c r="D28" s="151">
        <v>0</v>
      </c>
      <c r="E28" s="151">
        <v>1000</v>
      </c>
      <c r="F28" s="151">
        <v>1000</v>
      </c>
      <c r="G28" s="151">
        <v>65</v>
      </c>
      <c r="H28" s="151">
        <v>2000</v>
      </c>
      <c r="I28" s="151">
        <v>0</v>
      </c>
      <c r="J28" s="151">
        <v>10000</v>
      </c>
      <c r="K28" s="151">
        <v>10000</v>
      </c>
    </row>
    <row r="29" spans="1:11" x14ac:dyDescent="0.2">
      <c r="A29" s="87" t="s">
        <v>1055</v>
      </c>
      <c r="B29" s="87" t="s">
        <v>1038</v>
      </c>
      <c r="C29" s="42">
        <v>600</v>
      </c>
      <c r="D29" s="151">
        <v>77.28</v>
      </c>
      <c r="E29" s="151">
        <v>600</v>
      </c>
      <c r="F29" s="151">
        <v>300</v>
      </c>
      <c r="G29" s="151">
        <v>47.36</v>
      </c>
      <c r="H29" s="151">
        <v>300</v>
      </c>
      <c r="I29" s="151">
        <v>20</v>
      </c>
      <c r="J29" s="151">
        <v>300</v>
      </c>
      <c r="K29" s="151">
        <v>300</v>
      </c>
    </row>
    <row r="30" spans="1:11" x14ac:dyDescent="0.2">
      <c r="A30" s="87" t="s">
        <v>1056</v>
      </c>
      <c r="B30" s="87" t="s">
        <v>1001</v>
      </c>
      <c r="C30" s="42">
        <v>300</v>
      </c>
      <c r="D30" s="151">
        <v>0</v>
      </c>
      <c r="E30" s="151">
        <v>300</v>
      </c>
      <c r="F30" s="151">
        <v>300</v>
      </c>
      <c r="G30" s="151">
        <v>0</v>
      </c>
      <c r="H30" s="151">
        <v>300</v>
      </c>
      <c r="I30" s="151">
        <v>0</v>
      </c>
      <c r="J30" s="151">
        <v>300</v>
      </c>
      <c r="K30" s="151">
        <v>300</v>
      </c>
    </row>
    <row r="31" spans="1:11" x14ac:dyDescent="0.2">
      <c r="A31" s="87" t="s">
        <v>1057</v>
      </c>
      <c r="B31" s="87" t="s">
        <v>334</v>
      </c>
      <c r="C31" s="42">
        <v>5000</v>
      </c>
      <c r="D31" s="151">
        <v>1313</v>
      </c>
      <c r="E31" s="151">
        <v>5000</v>
      </c>
      <c r="F31" s="151">
        <v>5000</v>
      </c>
      <c r="G31" s="151">
        <v>2131.7600000000002</v>
      </c>
      <c r="H31" s="151">
        <v>5000</v>
      </c>
      <c r="I31" s="151">
        <v>174.47</v>
      </c>
      <c r="J31" s="151">
        <v>5000</v>
      </c>
      <c r="K31" s="151">
        <v>5000</v>
      </c>
    </row>
    <row r="32" spans="1:11" x14ac:dyDescent="0.2">
      <c r="A32" s="87" t="s">
        <v>1058</v>
      </c>
      <c r="B32" s="87" t="s">
        <v>1005</v>
      </c>
      <c r="C32" s="42">
        <v>500</v>
      </c>
      <c r="D32" s="151">
        <v>0</v>
      </c>
      <c r="E32" s="151">
        <v>500</v>
      </c>
      <c r="F32" s="151">
        <v>500</v>
      </c>
      <c r="G32" s="151">
        <v>2452.5</v>
      </c>
      <c r="H32" s="151">
        <v>1000</v>
      </c>
      <c r="I32" s="151">
        <v>0</v>
      </c>
      <c r="J32" s="151">
        <v>1000</v>
      </c>
      <c r="K32" s="151">
        <v>1000</v>
      </c>
    </row>
    <row r="33" spans="1:11" x14ac:dyDescent="0.2">
      <c r="A33" s="87" t="s">
        <v>1059</v>
      </c>
      <c r="B33" s="87" t="s">
        <v>1042</v>
      </c>
      <c r="C33" s="42">
        <v>415.37</v>
      </c>
      <c r="D33" s="151">
        <v>0</v>
      </c>
      <c r="E33" s="151">
        <v>415.37</v>
      </c>
      <c r="F33" s="151">
        <v>664.93</v>
      </c>
      <c r="G33" s="151">
        <v>0</v>
      </c>
      <c r="H33" s="151">
        <v>674.04</v>
      </c>
      <c r="I33" s="151">
        <v>0</v>
      </c>
      <c r="J33" s="151">
        <v>674.04</v>
      </c>
      <c r="K33" s="536" t="s">
        <v>1641</v>
      </c>
    </row>
    <row r="34" spans="1:11" x14ac:dyDescent="0.2">
      <c r="A34" s="87" t="s">
        <v>1060</v>
      </c>
      <c r="B34" s="87" t="s">
        <v>1044</v>
      </c>
      <c r="C34" s="121">
        <v>1800</v>
      </c>
      <c r="D34" s="151">
        <v>1867.11</v>
      </c>
      <c r="E34" s="151">
        <v>2650</v>
      </c>
      <c r="F34" s="151">
        <v>0</v>
      </c>
      <c r="G34" s="151">
        <v>2255.5</v>
      </c>
      <c r="H34" s="37">
        <v>2255.5</v>
      </c>
      <c r="I34" s="37">
        <v>2255.5</v>
      </c>
      <c r="J34" s="37">
        <v>1796</v>
      </c>
      <c r="K34" s="536" t="s">
        <v>1641</v>
      </c>
    </row>
    <row r="35" spans="1:11" x14ac:dyDescent="0.2">
      <c r="A35" s="87" t="s">
        <v>1061</v>
      </c>
      <c r="B35" s="89" t="s">
        <v>264</v>
      </c>
      <c r="C35" s="42"/>
      <c r="D35" s="151"/>
      <c r="E35" s="151"/>
      <c r="F35" s="151">
        <v>0</v>
      </c>
      <c r="G35" s="151">
        <v>0</v>
      </c>
      <c r="H35" s="151"/>
      <c r="I35" s="151">
        <v>0</v>
      </c>
      <c r="J35" s="151"/>
      <c r="K35" s="2"/>
    </row>
    <row r="36" spans="1:11" x14ac:dyDescent="0.2">
      <c r="A36" s="122" t="s">
        <v>1062</v>
      </c>
      <c r="B36" s="87" t="s">
        <v>1063</v>
      </c>
      <c r="C36" s="42"/>
      <c r="D36" s="151">
        <v>0</v>
      </c>
      <c r="E36" s="151"/>
      <c r="F36" s="151">
        <v>0</v>
      </c>
      <c r="G36" s="151">
        <v>0</v>
      </c>
      <c r="H36" s="151"/>
      <c r="I36" s="151">
        <v>0</v>
      </c>
      <c r="J36" s="151"/>
      <c r="K36" s="2"/>
    </row>
    <row r="37" spans="1:11" ht="15" x14ac:dyDescent="0.25">
      <c r="A37" s="122"/>
      <c r="B37" s="85" t="s">
        <v>1064</v>
      </c>
      <c r="C37" s="51">
        <f>SUM(C24:C36)</f>
        <v>62965.37</v>
      </c>
      <c r="D37" s="161">
        <f t="shared" ref="D37:I37" si="1">SUM(D24:D36)</f>
        <v>28435.019999999997</v>
      </c>
      <c r="E37" s="161">
        <f t="shared" si="1"/>
        <v>60915.37</v>
      </c>
      <c r="F37" s="161">
        <f t="shared" si="1"/>
        <v>63764.93</v>
      </c>
      <c r="G37" s="161">
        <f t="shared" si="1"/>
        <v>30689.32</v>
      </c>
      <c r="H37" s="161">
        <f t="shared" si="1"/>
        <v>87529.54</v>
      </c>
      <c r="I37" s="161">
        <f t="shared" si="1"/>
        <v>25696.090000000004</v>
      </c>
      <c r="J37" s="161">
        <f>SUM(J24:J36)</f>
        <v>95070.04</v>
      </c>
      <c r="K37" s="7">
        <f>SUM(K24:K36)</f>
        <v>92600</v>
      </c>
    </row>
    <row r="38" spans="1:11" x14ac:dyDescent="0.2">
      <c r="A38" s="122"/>
      <c r="B38" s="91"/>
      <c r="C38" s="6"/>
      <c r="D38" s="151"/>
      <c r="E38" s="151"/>
      <c r="F38" s="151"/>
      <c r="G38" s="151"/>
      <c r="H38" s="151"/>
      <c r="I38" s="151"/>
      <c r="J38" s="151"/>
      <c r="K38" s="2"/>
    </row>
    <row r="39" spans="1:11" x14ac:dyDescent="0.2">
      <c r="A39" s="122"/>
    </row>
    <row r="40" spans="1:11" x14ac:dyDescent="0.2">
      <c r="B40" s="87" t="s">
        <v>1655</v>
      </c>
      <c r="C40" s="87" t="s">
        <v>1654</v>
      </c>
      <c r="D40" s="6"/>
      <c r="E40" s="151"/>
      <c r="F40" s="151"/>
      <c r="G40" s="151"/>
      <c r="H40" s="151"/>
      <c r="I40" s="151"/>
      <c r="J40" s="151"/>
      <c r="K40" s="151">
        <v>0</v>
      </c>
    </row>
    <row r="44" spans="1:11" x14ac:dyDescent="0.2">
      <c r="A44" s="123"/>
    </row>
    <row r="45" spans="1:11" x14ac:dyDescent="0.2">
      <c r="A45" s="124"/>
    </row>
    <row r="46" spans="1:11" x14ac:dyDescent="0.2">
      <c r="A46" s="123"/>
      <c r="B46" s="125"/>
    </row>
    <row r="47" spans="1:11" x14ac:dyDescent="0.2">
      <c r="A47" s="123"/>
      <c r="B47" s="92"/>
    </row>
    <row r="48" spans="1:11" x14ac:dyDescent="0.2">
      <c r="A48" s="123"/>
      <c r="B48" s="92"/>
    </row>
    <row r="49" spans="1:2" x14ac:dyDescent="0.2">
      <c r="A49" s="123"/>
      <c r="B49" s="92"/>
    </row>
    <row r="50" spans="1:2" x14ac:dyDescent="0.2">
      <c r="A50" s="123"/>
      <c r="B50" s="93"/>
    </row>
    <row r="51" spans="1:2" x14ac:dyDescent="0.2">
      <c r="A51" s="123"/>
      <c r="B51" s="93"/>
    </row>
    <row r="52" spans="1:2" x14ac:dyDescent="0.2">
      <c r="A52" s="123"/>
      <c r="B52" s="93"/>
    </row>
    <row r="53" spans="1:2" x14ac:dyDescent="0.2">
      <c r="A53" s="123"/>
      <c r="B53" s="93"/>
    </row>
    <row r="54" spans="1:2" x14ac:dyDescent="0.2">
      <c r="A54" s="123"/>
      <c r="B54" s="93"/>
    </row>
    <row r="55" spans="1:2" x14ac:dyDescent="0.2">
      <c r="A55" s="123"/>
    </row>
  </sheetData>
  <phoneticPr fontId="24" type="noConversion"/>
  <pageMargins left="0.25" right="0.25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40"/>
  <sheetViews>
    <sheetView topLeftCell="B1" zoomScale="126" zoomScaleNormal="126" workbookViewId="0">
      <selection activeCell="K1" sqref="K1:K1048576"/>
    </sheetView>
  </sheetViews>
  <sheetFormatPr defaultRowHeight="14.25" x14ac:dyDescent="0.2"/>
  <cols>
    <col min="1" max="1" width="10.5" style="80" customWidth="1"/>
    <col min="2" max="2" width="23.875" customWidth="1"/>
    <col min="3" max="3" width="12.75" hidden="1" customWidth="1"/>
    <col min="4" max="4" width="10.875" hidden="1" customWidth="1"/>
    <col min="5" max="5" width="10.5" hidden="1" customWidth="1"/>
    <col min="6" max="6" width="11.375" hidden="1" customWidth="1"/>
    <col min="7" max="7" width="12.75" hidden="1" customWidth="1"/>
    <col min="8" max="8" width="15.5" hidden="1" customWidth="1"/>
    <col min="9" max="9" width="11.75" hidden="1" customWidth="1"/>
    <col min="10" max="10" width="10.75" style="46" hidden="1" customWidth="1"/>
    <col min="11" max="11" width="10.75" hidden="1" customWidth="1"/>
    <col min="12" max="12" width="10.75" customWidth="1"/>
  </cols>
  <sheetData>
    <row r="1" spans="1:12" x14ac:dyDescent="0.2">
      <c r="A1" s="408"/>
      <c r="B1" s="39"/>
      <c r="C1" s="39"/>
      <c r="D1" s="39"/>
      <c r="E1" s="39"/>
      <c r="F1" s="39"/>
      <c r="G1" s="39"/>
      <c r="H1" s="39"/>
      <c r="I1" s="39"/>
      <c r="J1" s="69"/>
      <c r="K1" s="39"/>
    </row>
    <row r="2" spans="1:12" ht="38.25" x14ac:dyDescent="0.2">
      <c r="A2" s="409"/>
      <c r="B2" s="586" t="s">
        <v>24</v>
      </c>
      <c r="C2" s="21" t="s">
        <v>554</v>
      </c>
      <c r="D2" s="587" t="s">
        <v>1065</v>
      </c>
      <c r="E2" s="21" t="s">
        <v>1351</v>
      </c>
      <c r="F2" s="21" t="s">
        <v>1352</v>
      </c>
      <c r="G2" s="587" t="s">
        <v>1510</v>
      </c>
      <c r="H2" s="587" t="s">
        <v>1494</v>
      </c>
      <c r="I2" s="587" t="s">
        <v>1547</v>
      </c>
      <c r="J2" s="21" t="s">
        <v>1595</v>
      </c>
      <c r="K2" s="588" t="s">
        <v>1634</v>
      </c>
      <c r="L2" s="588" t="s">
        <v>1686</v>
      </c>
    </row>
    <row r="3" spans="1:12" x14ac:dyDescent="0.2">
      <c r="A3" s="410"/>
      <c r="B3" s="411"/>
      <c r="C3" s="44"/>
      <c r="D3" s="44"/>
      <c r="E3" s="155"/>
      <c r="F3" s="155"/>
      <c r="G3" s="44"/>
      <c r="H3" s="155"/>
      <c r="I3" s="155"/>
      <c r="J3" s="42"/>
      <c r="K3" s="42"/>
      <c r="L3" s="2"/>
    </row>
    <row r="4" spans="1:12" x14ac:dyDescent="0.2">
      <c r="A4" s="410" t="s">
        <v>1066</v>
      </c>
      <c r="B4" s="411" t="s">
        <v>1067</v>
      </c>
      <c r="C4" s="36">
        <v>2000</v>
      </c>
      <c r="D4" s="36">
        <v>2571.7600000000002</v>
      </c>
      <c r="E4" s="155">
        <v>1912.04</v>
      </c>
      <c r="F4" s="36">
        <v>3500</v>
      </c>
      <c r="G4" s="36">
        <v>4000</v>
      </c>
      <c r="H4" s="155">
        <v>1566</v>
      </c>
      <c r="I4" s="36">
        <v>4000</v>
      </c>
      <c r="J4" s="42">
        <v>4000</v>
      </c>
      <c r="K4" s="42">
        <v>4500</v>
      </c>
      <c r="L4" s="42">
        <v>4500</v>
      </c>
    </row>
    <row r="5" spans="1:12" x14ac:dyDescent="0.2">
      <c r="A5" s="410" t="s">
        <v>1068</v>
      </c>
      <c r="B5" s="411" t="s">
        <v>264</v>
      </c>
      <c r="C5" s="36">
        <v>0</v>
      </c>
      <c r="D5" s="36">
        <v>0</v>
      </c>
      <c r="E5" s="155">
        <v>0</v>
      </c>
      <c r="F5" s="36">
        <v>0</v>
      </c>
      <c r="G5" s="36">
        <v>0</v>
      </c>
      <c r="H5" s="155"/>
      <c r="I5" s="36">
        <v>0</v>
      </c>
      <c r="J5" s="42"/>
      <c r="K5" s="42"/>
      <c r="L5" s="42"/>
    </row>
    <row r="6" spans="1:12" x14ac:dyDescent="0.2">
      <c r="A6" s="410" t="s">
        <v>1069</v>
      </c>
      <c r="B6" s="411" t="s">
        <v>1070</v>
      </c>
      <c r="C6" s="36">
        <v>1000</v>
      </c>
      <c r="D6" s="36">
        <v>928.24</v>
      </c>
      <c r="E6" s="155">
        <v>760</v>
      </c>
      <c r="F6" s="36">
        <v>1000</v>
      </c>
      <c r="G6" s="36">
        <v>1000</v>
      </c>
      <c r="H6" s="155">
        <v>1125</v>
      </c>
      <c r="I6" s="36">
        <v>1000</v>
      </c>
      <c r="J6" s="42">
        <v>1500</v>
      </c>
      <c r="K6" s="42">
        <v>1750</v>
      </c>
      <c r="L6" s="42">
        <v>1750</v>
      </c>
    </row>
    <row r="7" spans="1:12" x14ac:dyDescent="0.2">
      <c r="A7" s="410" t="s">
        <v>1071</v>
      </c>
      <c r="B7" s="411" t="s">
        <v>1072</v>
      </c>
      <c r="C7" s="36">
        <v>0</v>
      </c>
      <c r="D7" s="36">
        <v>0</v>
      </c>
      <c r="E7" s="155">
        <v>0</v>
      </c>
      <c r="F7" s="36">
        <v>0</v>
      </c>
      <c r="G7" s="36">
        <v>0</v>
      </c>
      <c r="H7" s="155"/>
      <c r="I7" s="36">
        <v>0</v>
      </c>
      <c r="J7" s="42"/>
      <c r="K7" s="42"/>
      <c r="L7" s="42"/>
    </row>
    <row r="8" spans="1:12" x14ac:dyDescent="0.2">
      <c r="A8" s="410"/>
      <c r="B8" s="411"/>
      <c r="C8" s="48"/>
      <c r="D8" s="44"/>
      <c r="E8" s="155"/>
      <c r="F8" s="44"/>
      <c r="G8" s="44"/>
      <c r="H8" s="155"/>
      <c r="I8" s="44"/>
      <c r="J8" s="42"/>
      <c r="K8" s="42"/>
      <c r="L8" s="42"/>
    </row>
    <row r="9" spans="1:12" x14ac:dyDescent="0.2">
      <c r="A9" s="409"/>
      <c r="B9" s="411" t="s">
        <v>169</v>
      </c>
      <c r="C9" s="48">
        <f>SUM(C4:C8)</f>
        <v>3000</v>
      </c>
      <c r="D9" s="243">
        <f>SUM(D4:D7)</f>
        <v>3500</v>
      </c>
      <c r="E9" s="155">
        <f>SUM(E4:E8)</f>
        <v>2672.04</v>
      </c>
      <c r="F9" s="243">
        <f t="shared" ref="F9:K9" si="0">SUM(F4:F7)</f>
        <v>4500</v>
      </c>
      <c r="G9" s="243">
        <f t="shared" si="0"/>
        <v>5000</v>
      </c>
      <c r="H9" s="155">
        <f t="shared" si="0"/>
        <v>2691</v>
      </c>
      <c r="I9" s="243">
        <f t="shared" si="0"/>
        <v>5000</v>
      </c>
      <c r="J9" s="42">
        <f t="shared" si="0"/>
        <v>5500</v>
      </c>
      <c r="K9" s="42">
        <f t="shared" si="0"/>
        <v>6250</v>
      </c>
      <c r="L9" s="42">
        <f t="shared" ref="L9" si="1">SUM(L4:L7)</f>
        <v>6250</v>
      </c>
    </row>
    <row r="10" spans="1:12" x14ac:dyDescent="0.2">
      <c r="A10" s="410"/>
      <c r="B10" s="411"/>
      <c r="C10" s="44"/>
      <c r="D10" s="44"/>
      <c r="E10" s="155"/>
      <c r="F10" s="155"/>
      <c r="G10" s="44"/>
      <c r="H10" s="155"/>
      <c r="I10" s="155"/>
      <c r="J10" s="42"/>
      <c r="K10" s="42"/>
      <c r="L10" s="2"/>
    </row>
    <row r="11" spans="1:12" x14ac:dyDescent="0.2">
      <c r="A11" s="126"/>
      <c r="B11" s="127"/>
    </row>
    <row r="12" spans="1:12" x14ac:dyDescent="0.2">
      <c r="A12" s="126"/>
      <c r="B12" s="127"/>
    </row>
    <row r="13" spans="1:12" x14ac:dyDescent="0.2">
      <c r="A13" s="126"/>
      <c r="B13" s="127"/>
    </row>
    <row r="14" spans="1:12" x14ac:dyDescent="0.2">
      <c r="A14" s="126"/>
      <c r="B14" s="127"/>
    </row>
    <row r="15" spans="1:12" x14ac:dyDescent="0.2">
      <c r="A15" s="126"/>
      <c r="B15" s="127"/>
    </row>
    <row r="16" spans="1:12" x14ac:dyDescent="0.2">
      <c r="A16" s="126"/>
      <c r="B16" s="127"/>
    </row>
    <row r="17" spans="1:2" x14ac:dyDescent="0.2">
      <c r="A17" s="126"/>
      <c r="B17" s="127"/>
    </row>
    <row r="18" spans="1:2" x14ac:dyDescent="0.2">
      <c r="A18" s="126"/>
      <c r="B18" s="127"/>
    </row>
    <row r="19" spans="1:2" x14ac:dyDescent="0.2">
      <c r="A19" s="126"/>
      <c r="B19" s="127"/>
    </row>
    <row r="20" spans="1:2" x14ac:dyDescent="0.2">
      <c r="A20" s="126"/>
      <c r="B20" s="127"/>
    </row>
    <row r="21" spans="1:2" x14ac:dyDescent="0.2">
      <c r="A21" s="126"/>
      <c r="B21" s="127"/>
    </row>
    <row r="22" spans="1:2" x14ac:dyDescent="0.2">
      <c r="A22" s="126"/>
      <c r="B22" s="127"/>
    </row>
    <row r="23" spans="1:2" x14ac:dyDescent="0.2">
      <c r="A23" s="126"/>
      <c r="B23" s="127"/>
    </row>
    <row r="24" spans="1:2" x14ac:dyDescent="0.2">
      <c r="A24" s="126"/>
      <c r="B24" s="127"/>
    </row>
    <row r="25" spans="1:2" x14ac:dyDescent="0.2">
      <c r="A25" s="126"/>
      <c r="B25" s="127"/>
    </row>
    <row r="26" spans="1:2" x14ac:dyDescent="0.2">
      <c r="A26" s="126"/>
      <c r="B26" s="127"/>
    </row>
    <row r="27" spans="1:2" x14ac:dyDescent="0.2">
      <c r="A27" s="126"/>
      <c r="B27" s="127"/>
    </row>
    <row r="28" spans="1:2" x14ac:dyDescent="0.2">
      <c r="A28" s="126"/>
      <c r="B28" s="127"/>
    </row>
    <row r="29" spans="1:2" x14ac:dyDescent="0.2">
      <c r="A29" s="126"/>
      <c r="B29" s="127"/>
    </row>
    <row r="30" spans="1:2" x14ac:dyDescent="0.2">
      <c r="A30" s="126"/>
      <c r="B30" s="127"/>
    </row>
    <row r="31" spans="1:2" x14ac:dyDescent="0.2">
      <c r="A31" s="126"/>
      <c r="B31" s="127"/>
    </row>
    <row r="32" spans="1:2" x14ac:dyDescent="0.2">
      <c r="A32" s="126"/>
      <c r="B32" s="127"/>
    </row>
    <row r="33" spans="1:2" x14ac:dyDescent="0.2">
      <c r="A33" s="126"/>
      <c r="B33" s="127"/>
    </row>
    <row r="34" spans="1:2" x14ac:dyDescent="0.2">
      <c r="A34" s="126"/>
      <c r="B34" s="127"/>
    </row>
    <row r="35" spans="1:2" x14ac:dyDescent="0.2">
      <c r="A35" s="126"/>
      <c r="B35" s="127"/>
    </row>
    <row r="36" spans="1:2" x14ac:dyDescent="0.2">
      <c r="A36" s="126"/>
      <c r="B36" s="127"/>
    </row>
    <row r="37" spans="1:2" x14ac:dyDescent="0.2">
      <c r="A37" s="126"/>
      <c r="B37" s="127"/>
    </row>
    <row r="38" spans="1:2" x14ac:dyDescent="0.2">
      <c r="A38" s="126"/>
      <c r="B38" s="127"/>
    </row>
    <row r="39" spans="1:2" x14ac:dyDescent="0.2">
      <c r="A39" s="126"/>
      <c r="B39" s="127"/>
    </row>
    <row r="40" spans="1:2" x14ac:dyDescent="0.2">
      <c r="A40" s="126"/>
      <c r="B40" s="127"/>
    </row>
  </sheetData>
  <phoneticPr fontId="24" type="noConversion"/>
  <pageMargins left="0.25" right="0.25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4"/>
  <sheetViews>
    <sheetView workbookViewId="0">
      <selection activeCell="L1" sqref="L1:L1048576"/>
    </sheetView>
  </sheetViews>
  <sheetFormatPr defaultRowHeight="14.25" x14ac:dyDescent="0.2"/>
  <cols>
    <col min="1" max="1" width="11.75" style="110" customWidth="1"/>
    <col min="2" max="2" width="23" style="110" customWidth="1"/>
    <col min="3" max="3" width="12.875" style="46" hidden="1" customWidth="1"/>
    <col min="4" max="4" width="10.375" hidden="1" customWidth="1"/>
    <col min="5" max="6" width="12" hidden="1" customWidth="1"/>
    <col min="7" max="7" width="10.75" hidden="1" customWidth="1"/>
    <col min="8" max="8" width="12.375" hidden="1" customWidth="1"/>
    <col min="9" max="9" width="18" hidden="1" customWidth="1"/>
    <col min="10" max="10" width="13.125" hidden="1" customWidth="1"/>
    <col min="11" max="11" width="11.75" hidden="1" customWidth="1"/>
    <col min="12" max="12" width="14.5" hidden="1" customWidth="1"/>
    <col min="13" max="13" width="15.5" customWidth="1"/>
  </cols>
  <sheetData>
    <row r="1" spans="1:13" ht="60" x14ac:dyDescent="0.25">
      <c r="A1" s="280"/>
      <c r="B1" s="281" t="s">
        <v>1073</v>
      </c>
      <c r="C1" s="20" t="s">
        <v>482</v>
      </c>
      <c r="D1" s="143" t="s">
        <v>1074</v>
      </c>
      <c r="E1" s="47" t="s">
        <v>1351</v>
      </c>
      <c r="F1" s="162" t="s">
        <v>1352</v>
      </c>
      <c r="G1" s="143" t="s">
        <v>1508</v>
      </c>
      <c r="H1" s="143" t="s">
        <v>1494</v>
      </c>
      <c r="I1" s="143" t="s">
        <v>1505</v>
      </c>
      <c r="J1" s="47" t="s">
        <v>1587</v>
      </c>
      <c r="K1" s="276" t="s">
        <v>1568</v>
      </c>
      <c r="L1" s="276" t="s">
        <v>1634</v>
      </c>
      <c r="M1" s="276" t="s">
        <v>1686</v>
      </c>
    </row>
    <row r="2" spans="1:13" x14ac:dyDescent="0.2">
      <c r="A2" s="283"/>
      <c r="B2" s="287"/>
      <c r="C2" s="3"/>
      <c r="D2" s="2"/>
      <c r="E2" s="151"/>
      <c r="F2" s="163"/>
      <c r="G2" s="2"/>
      <c r="H2" s="151"/>
      <c r="I2" s="151"/>
      <c r="J2" s="2"/>
      <c r="K2" s="2"/>
      <c r="L2" s="2"/>
      <c r="M2" s="2"/>
    </row>
    <row r="3" spans="1:13" ht="15" x14ac:dyDescent="0.25">
      <c r="A3" s="280"/>
      <c r="B3" s="280"/>
      <c r="C3" s="3"/>
      <c r="D3" s="2"/>
      <c r="E3" s="151"/>
      <c r="F3" s="163"/>
      <c r="G3" s="2"/>
      <c r="H3" s="151"/>
      <c r="I3" s="151"/>
      <c r="J3" s="2"/>
      <c r="K3" s="2"/>
      <c r="L3" s="2"/>
      <c r="M3" s="2"/>
    </row>
    <row r="4" spans="1:13" x14ac:dyDescent="0.2">
      <c r="A4" s="283" t="s">
        <v>1075</v>
      </c>
      <c r="B4" s="287" t="s">
        <v>748</v>
      </c>
      <c r="C4" s="3">
        <v>1250</v>
      </c>
      <c r="D4" s="3">
        <v>2000</v>
      </c>
      <c r="E4" s="151">
        <v>165.88</v>
      </c>
      <c r="F4" s="90">
        <v>1500</v>
      </c>
      <c r="G4" s="3">
        <v>1500</v>
      </c>
      <c r="H4" s="151"/>
      <c r="I4" s="151"/>
      <c r="J4" s="3">
        <v>1500</v>
      </c>
      <c r="K4" s="3">
        <v>0</v>
      </c>
      <c r="L4" s="3">
        <v>1500</v>
      </c>
      <c r="M4" s="3">
        <v>1500</v>
      </c>
    </row>
    <row r="5" spans="1:13" x14ac:dyDescent="0.2">
      <c r="A5" s="283" t="s">
        <v>1076</v>
      </c>
      <c r="B5" s="287" t="s">
        <v>1077</v>
      </c>
      <c r="C5" s="3">
        <v>1500</v>
      </c>
      <c r="D5" s="3">
        <v>1500</v>
      </c>
      <c r="E5" s="151">
        <v>0</v>
      </c>
      <c r="F5" s="90">
        <v>1500</v>
      </c>
      <c r="G5" s="3">
        <v>1500</v>
      </c>
      <c r="H5" s="151"/>
      <c r="I5" s="151"/>
      <c r="J5" s="3">
        <v>1500</v>
      </c>
      <c r="K5" s="3">
        <v>0</v>
      </c>
      <c r="L5" s="3">
        <v>1500</v>
      </c>
      <c r="M5" s="3">
        <v>1500</v>
      </c>
    </row>
    <row r="6" spans="1:13" x14ac:dyDescent="0.2">
      <c r="A6" s="283" t="s">
        <v>1078</v>
      </c>
      <c r="B6" s="287" t="s">
        <v>1079</v>
      </c>
      <c r="C6" s="3">
        <v>200</v>
      </c>
      <c r="D6" s="3">
        <v>200</v>
      </c>
      <c r="E6" s="151">
        <v>0</v>
      </c>
      <c r="F6" s="90">
        <v>200</v>
      </c>
      <c r="G6" s="3">
        <v>200</v>
      </c>
      <c r="H6" s="151"/>
      <c r="I6" s="151"/>
      <c r="J6" s="3">
        <v>200</v>
      </c>
      <c r="K6" s="3">
        <v>0</v>
      </c>
      <c r="L6" s="3">
        <v>200</v>
      </c>
      <c r="M6" s="3">
        <v>200</v>
      </c>
    </row>
    <row r="7" spans="1:13" x14ac:dyDescent="0.2">
      <c r="A7" s="283" t="s">
        <v>1080</v>
      </c>
      <c r="B7" s="287" t="s">
        <v>1081</v>
      </c>
      <c r="C7" s="3">
        <v>1500</v>
      </c>
      <c r="D7" s="3">
        <v>1750</v>
      </c>
      <c r="E7" s="151">
        <v>813.24</v>
      </c>
      <c r="F7" s="90">
        <v>1500</v>
      </c>
      <c r="G7" s="3">
        <v>1500</v>
      </c>
      <c r="H7" s="151"/>
      <c r="I7" s="151"/>
      <c r="J7" s="3">
        <v>1500</v>
      </c>
      <c r="K7" s="3">
        <v>26</v>
      </c>
      <c r="L7" s="3">
        <v>1500</v>
      </c>
      <c r="M7" s="3">
        <v>1500</v>
      </c>
    </row>
    <row r="8" spans="1:13" x14ac:dyDescent="0.2">
      <c r="A8" s="283" t="s">
        <v>1082</v>
      </c>
      <c r="B8" s="287" t="s">
        <v>1083</v>
      </c>
      <c r="C8" s="3">
        <v>500</v>
      </c>
      <c r="D8" s="3">
        <v>500</v>
      </c>
      <c r="E8" s="151">
        <v>650.9</v>
      </c>
      <c r="F8" s="90">
        <v>750</v>
      </c>
      <c r="G8" s="3">
        <v>750</v>
      </c>
      <c r="H8" s="151">
        <v>7.5</v>
      </c>
      <c r="I8" s="151"/>
      <c r="J8" s="3">
        <v>750</v>
      </c>
      <c r="K8" s="3">
        <v>7.5</v>
      </c>
      <c r="L8" s="3">
        <v>750</v>
      </c>
      <c r="M8" s="3">
        <v>750</v>
      </c>
    </row>
    <row r="9" spans="1:13" ht="15" x14ac:dyDescent="0.25">
      <c r="A9" s="280"/>
      <c r="B9" s="294" t="s">
        <v>169</v>
      </c>
      <c r="C9" s="4">
        <f t="shared" ref="C9:H9" si="0">SUM(C4:C8)</f>
        <v>4950</v>
      </c>
      <c r="D9" s="4">
        <f t="shared" si="0"/>
        <v>5950</v>
      </c>
      <c r="E9" s="161">
        <f t="shared" si="0"/>
        <v>1630.02</v>
      </c>
      <c r="F9" s="142">
        <f t="shared" si="0"/>
        <v>5450</v>
      </c>
      <c r="G9" s="4">
        <f t="shared" si="0"/>
        <v>5450</v>
      </c>
      <c r="H9" s="161">
        <f t="shared" si="0"/>
        <v>7.5</v>
      </c>
      <c r="I9" s="161"/>
      <c r="J9" s="4">
        <f>SUM(J4:J8)</f>
        <v>5450</v>
      </c>
      <c r="K9" s="4">
        <f>SUM(K4:K8)</f>
        <v>33.5</v>
      </c>
      <c r="L9" s="4">
        <f>SUM(L4:L8)</f>
        <v>5450</v>
      </c>
      <c r="M9" s="4">
        <f>SUM(M4:M8)</f>
        <v>5450</v>
      </c>
    </row>
    <row r="10" spans="1:13" x14ac:dyDescent="0.2">
      <c r="A10" s="283"/>
      <c r="B10" s="283"/>
      <c r="C10" s="3"/>
      <c r="D10" s="2"/>
      <c r="E10" s="151"/>
      <c r="F10" s="151"/>
      <c r="G10" s="2"/>
      <c r="H10" s="151"/>
      <c r="I10" s="151"/>
      <c r="J10" s="2"/>
      <c r="K10" s="2"/>
      <c r="L10" s="2"/>
      <c r="M10" s="2"/>
    </row>
    <row r="11" spans="1:13" x14ac:dyDescent="0.2">
      <c r="C11" s="114"/>
    </row>
    <row r="12" spans="1:13" x14ac:dyDescent="0.2">
      <c r="C12" s="114"/>
    </row>
    <row r="13" spans="1:13" x14ac:dyDescent="0.2">
      <c r="C13" s="114"/>
    </row>
    <row r="14" spans="1:13" x14ac:dyDescent="0.2">
      <c r="C14" s="114"/>
    </row>
    <row r="15" spans="1:13" x14ac:dyDescent="0.2">
      <c r="C15" s="114"/>
    </row>
    <row r="16" spans="1:13" x14ac:dyDescent="0.2">
      <c r="C16" s="114"/>
    </row>
    <row r="17" spans="3:3" x14ac:dyDescent="0.2">
      <c r="C17" s="114"/>
    </row>
    <row r="18" spans="3:3" x14ac:dyDescent="0.2">
      <c r="C18" s="114"/>
    </row>
    <row r="19" spans="3:3" x14ac:dyDescent="0.2">
      <c r="C19" s="114"/>
    </row>
    <row r="20" spans="3:3" x14ac:dyDescent="0.2">
      <c r="C20" s="114"/>
    </row>
    <row r="21" spans="3:3" x14ac:dyDescent="0.2">
      <c r="C21" s="114"/>
    </row>
    <row r="22" spans="3:3" x14ac:dyDescent="0.2">
      <c r="C22" s="114"/>
    </row>
    <row r="23" spans="3:3" x14ac:dyDescent="0.2">
      <c r="C23" s="114"/>
    </row>
    <row r="24" spans="3:3" x14ac:dyDescent="0.2">
      <c r="C24" s="114"/>
    </row>
    <row r="25" spans="3:3" x14ac:dyDescent="0.2">
      <c r="C25" s="114"/>
    </row>
    <row r="26" spans="3:3" x14ac:dyDescent="0.2">
      <c r="C26" s="114"/>
    </row>
    <row r="27" spans="3:3" x14ac:dyDescent="0.2">
      <c r="C27" s="114"/>
    </row>
    <row r="28" spans="3:3" x14ac:dyDescent="0.2">
      <c r="C28" s="114"/>
    </row>
    <row r="29" spans="3:3" x14ac:dyDescent="0.2">
      <c r="C29" s="114"/>
    </row>
    <row r="30" spans="3:3" x14ac:dyDescent="0.2">
      <c r="C30" s="114"/>
    </row>
    <row r="31" spans="3:3" x14ac:dyDescent="0.2">
      <c r="C31" s="114"/>
    </row>
    <row r="32" spans="3:3" x14ac:dyDescent="0.2">
      <c r="C32" s="114"/>
    </row>
    <row r="33" spans="3:3" x14ac:dyDescent="0.2">
      <c r="C33" s="114"/>
    </row>
    <row r="34" spans="3:3" x14ac:dyDescent="0.2">
      <c r="C34" s="114"/>
    </row>
  </sheetData>
  <phoneticPr fontId="24" type="noConversion"/>
  <pageMargins left="0.25" right="0.25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N27"/>
  <sheetViews>
    <sheetView workbookViewId="0">
      <selection activeCell="M1" sqref="M1:M1048576"/>
    </sheetView>
  </sheetViews>
  <sheetFormatPr defaultRowHeight="14.25" x14ac:dyDescent="0.2"/>
  <cols>
    <col min="1" max="1" width="11.75" style="18" customWidth="1"/>
    <col min="2" max="2" width="42.75" style="18" customWidth="1"/>
    <col min="3" max="3" width="12.5" style="46" hidden="1" customWidth="1"/>
    <col min="4" max="4" width="11.375" hidden="1" customWidth="1"/>
    <col min="5" max="5" width="12.875" hidden="1" customWidth="1"/>
    <col min="6" max="6" width="13" hidden="1" customWidth="1"/>
    <col min="7" max="7" width="13.75" style="46" hidden="1" customWidth="1"/>
    <col min="8" max="8" width="12.75" hidden="1" customWidth="1"/>
    <col min="9" max="9" width="13" hidden="1" customWidth="1"/>
    <col min="10" max="10" width="13.625" style="46" hidden="1" customWidth="1"/>
    <col min="11" max="11" width="2" style="46" hidden="1" customWidth="1"/>
    <col min="12" max="12" width="13.5" hidden="1" customWidth="1"/>
    <col min="13" max="13" width="14" hidden="1" customWidth="1"/>
    <col min="14" max="14" width="13" customWidth="1"/>
  </cols>
  <sheetData>
    <row r="2" spans="1:14" ht="45" x14ac:dyDescent="0.25">
      <c r="A2" s="58"/>
      <c r="B2" s="57" t="s">
        <v>26</v>
      </c>
      <c r="C2" s="20" t="s">
        <v>304</v>
      </c>
      <c r="D2" s="143" t="s">
        <v>679</v>
      </c>
      <c r="E2" s="47" t="s">
        <v>1351</v>
      </c>
      <c r="F2" s="47" t="s">
        <v>1352</v>
      </c>
      <c r="G2" s="143" t="s">
        <v>1511</v>
      </c>
      <c r="H2" s="143" t="s">
        <v>1494</v>
      </c>
      <c r="I2" s="143" t="s">
        <v>1548</v>
      </c>
      <c r="J2" s="143" t="s">
        <v>1596</v>
      </c>
      <c r="L2" s="277" t="s">
        <v>1568</v>
      </c>
      <c r="M2" s="143" t="s">
        <v>1634</v>
      </c>
      <c r="N2" s="143" t="s">
        <v>1686</v>
      </c>
    </row>
    <row r="3" spans="1:14" x14ac:dyDescent="0.2">
      <c r="A3" s="58"/>
      <c r="B3" s="58"/>
      <c r="C3" s="3"/>
      <c r="D3" s="2"/>
      <c r="E3" s="151"/>
      <c r="F3" s="151"/>
      <c r="G3" s="3"/>
      <c r="H3" s="151"/>
      <c r="I3" s="151"/>
      <c r="J3" s="3"/>
      <c r="K3" s="3"/>
      <c r="L3" s="3"/>
      <c r="M3" s="3"/>
      <c r="N3" s="2"/>
    </row>
    <row r="4" spans="1:14" x14ac:dyDescent="0.2">
      <c r="A4" s="58" t="s">
        <v>1084</v>
      </c>
      <c r="B4" s="58" t="s">
        <v>1085</v>
      </c>
      <c r="C4" s="3">
        <v>14335</v>
      </c>
      <c r="D4" s="3">
        <v>15335</v>
      </c>
      <c r="E4" s="151">
        <v>6183.38</v>
      </c>
      <c r="F4" s="3">
        <v>15795.05</v>
      </c>
      <c r="G4" s="207">
        <v>18933</v>
      </c>
      <c r="H4" s="151">
        <v>11683.11</v>
      </c>
      <c r="I4" s="151"/>
      <c r="J4" s="3">
        <v>20933</v>
      </c>
      <c r="K4" s="3">
        <v>20933</v>
      </c>
      <c r="L4" s="3">
        <v>10258.89</v>
      </c>
      <c r="M4" s="3">
        <v>24000</v>
      </c>
      <c r="N4" s="3">
        <v>24000</v>
      </c>
    </row>
    <row r="5" spans="1:14" x14ac:dyDescent="0.2">
      <c r="A5" s="58" t="s">
        <v>1086</v>
      </c>
      <c r="B5" s="58" t="s">
        <v>1087</v>
      </c>
      <c r="C5" s="3">
        <v>0</v>
      </c>
      <c r="D5" s="3">
        <v>2000</v>
      </c>
      <c r="E5" s="151">
        <v>25.69</v>
      </c>
      <c r="F5" s="3">
        <v>1560</v>
      </c>
      <c r="G5" s="207">
        <v>900</v>
      </c>
      <c r="H5" s="151">
        <v>431.16</v>
      </c>
      <c r="I5" s="151"/>
      <c r="J5" s="3">
        <v>900</v>
      </c>
      <c r="K5" s="3">
        <v>900</v>
      </c>
      <c r="L5" s="3">
        <v>246.6</v>
      </c>
      <c r="M5" s="3">
        <v>900</v>
      </c>
      <c r="N5" s="3">
        <v>1500</v>
      </c>
    </row>
    <row r="6" spans="1:14" x14ac:dyDescent="0.2">
      <c r="A6" s="58" t="s">
        <v>1088</v>
      </c>
      <c r="B6" s="58" t="s">
        <v>220</v>
      </c>
      <c r="C6" s="3">
        <v>362.5</v>
      </c>
      <c r="D6" s="3">
        <v>422.5</v>
      </c>
      <c r="E6" s="151">
        <v>240</v>
      </c>
      <c r="F6" s="3">
        <v>545</v>
      </c>
      <c r="G6" s="207">
        <v>785</v>
      </c>
      <c r="H6" s="151">
        <v>422.5</v>
      </c>
      <c r="I6" s="151"/>
      <c r="J6" s="3">
        <v>845</v>
      </c>
      <c r="K6" s="3">
        <v>845</v>
      </c>
      <c r="L6" s="3">
        <v>455</v>
      </c>
      <c r="M6" s="3">
        <v>902.5</v>
      </c>
      <c r="N6" s="3">
        <v>902.5</v>
      </c>
    </row>
    <row r="7" spans="1:14" x14ac:dyDescent="0.2">
      <c r="A7" s="58" t="s">
        <v>1089</v>
      </c>
      <c r="B7" s="58" t="s">
        <v>226</v>
      </c>
      <c r="C7" s="3">
        <v>100</v>
      </c>
      <c r="D7" s="3">
        <v>100</v>
      </c>
      <c r="E7" s="151">
        <v>23.98</v>
      </c>
      <c r="F7" s="3">
        <v>100</v>
      </c>
      <c r="G7" s="207">
        <v>100</v>
      </c>
      <c r="H7" s="151">
        <v>27.27</v>
      </c>
      <c r="I7" s="151"/>
      <c r="J7" s="3">
        <v>100</v>
      </c>
      <c r="K7" s="3">
        <v>100</v>
      </c>
      <c r="L7" s="3">
        <v>33.729999999999997</v>
      </c>
      <c r="M7" s="3">
        <v>100</v>
      </c>
      <c r="N7" s="3">
        <v>100</v>
      </c>
    </row>
    <row r="8" spans="1:14" x14ac:dyDescent="0.2">
      <c r="A8" s="58" t="s">
        <v>1090</v>
      </c>
      <c r="B8" s="58" t="s">
        <v>228</v>
      </c>
      <c r="C8" s="3">
        <v>0</v>
      </c>
      <c r="D8" s="3"/>
      <c r="E8" s="151">
        <v>0</v>
      </c>
      <c r="F8" s="3"/>
      <c r="G8" s="207">
        <v>2201.46</v>
      </c>
      <c r="H8" s="151">
        <v>0</v>
      </c>
      <c r="I8" s="151"/>
      <c r="J8" s="3">
        <v>693</v>
      </c>
      <c r="K8" s="3">
        <v>693</v>
      </c>
      <c r="L8" s="3">
        <v>1217.57</v>
      </c>
      <c r="M8" s="3">
        <f>SUM(M4:M6)*0.095</f>
        <v>2451.2375000000002</v>
      </c>
      <c r="N8" s="3">
        <f>SUM(N4:N6)*0.095</f>
        <v>2508.2375000000002</v>
      </c>
    </row>
    <row r="9" spans="1:14" x14ac:dyDescent="0.2">
      <c r="A9" s="58" t="s">
        <v>1091</v>
      </c>
      <c r="B9" s="58" t="s">
        <v>230</v>
      </c>
      <c r="C9" s="3">
        <f>SUM($C$4:$C$6)*0.0145</f>
        <v>213.11375000000001</v>
      </c>
      <c r="D9" s="3">
        <f>SUM($D4:D$6)*0.0145</f>
        <v>257.48374999999999</v>
      </c>
      <c r="E9" s="151">
        <v>93.51</v>
      </c>
      <c r="F9" s="90">
        <f>SUM(F$4:F$6)*0.0145</f>
        <v>259.550725</v>
      </c>
      <c r="G9" s="207">
        <v>332.33</v>
      </c>
      <c r="H9" s="151">
        <v>179.6</v>
      </c>
      <c r="I9" s="151"/>
      <c r="J9" s="3">
        <v>108.47450000000001</v>
      </c>
      <c r="K9" s="3">
        <v>108.47450000000001</v>
      </c>
      <c r="L9" s="3">
        <v>177.21</v>
      </c>
      <c r="M9" s="3">
        <f>SUM(M5:M7)*0.145</f>
        <v>275.86249999999995</v>
      </c>
      <c r="N9" s="3">
        <f>SUM(N5:N7)*0.145</f>
        <v>362.86249999999995</v>
      </c>
    </row>
    <row r="10" spans="1:14" x14ac:dyDescent="0.2">
      <c r="A10" s="58" t="s">
        <v>1092</v>
      </c>
      <c r="B10" s="58" t="s">
        <v>232</v>
      </c>
      <c r="C10" s="3">
        <f>SUM($C$4:$C$6)*0.062</f>
        <v>911.245</v>
      </c>
      <c r="D10" s="3">
        <f>SUM(D$4:D$6)*0.062</f>
        <v>1100.9649999999999</v>
      </c>
      <c r="E10" s="151">
        <v>399.84</v>
      </c>
      <c r="F10" s="90">
        <f>SUM(F$4:F$6)*0.062</f>
        <v>1109.8030999999999</v>
      </c>
      <c r="G10" s="207">
        <v>1421.01</v>
      </c>
      <c r="H10" s="151">
        <v>767.89</v>
      </c>
      <c r="I10" s="151"/>
      <c r="J10" s="3">
        <v>463.822</v>
      </c>
      <c r="K10" s="3">
        <v>463.822</v>
      </c>
      <c r="L10" s="3">
        <v>757.75</v>
      </c>
      <c r="M10" s="3">
        <f>SUM(M4:M6)*0.062</f>
        <v>1599.7549999999999</v>
      </c>
      <c r="N10" s="3">
        <f>SUM(N4:N6)*0.062</f>
        <v>1636.9549999999999</v>
      </c>
    </row>
    <row r="11" spans="1:14" x14ac:dyDescent="0.2">
      <c r="A11" s="58" t="s">
        <v>1597</v>
      </c>
      <c r="B11" s="58" t="s">
        <v>1571</v>
      </c>
      <c r="C11" s="3"/>
      <c r="D11" s="3"/>
      <c r="E11" s="151"/>
      <c r="F11" s="90"/>
      <c r="G11" s="207"/>
      <c r="H11" s="151"/>
      <c r="I11" s="151"/>
      <c r="J11" s="3">
        <v>0</v>
      </c>
      <c r="K11" s="3"/>
      <c r="L11" s="3">
        <v>801.18</v>
      </c>
      <c r="M11" s="3">
        <v>0</v>
      </c>
      <c r="N11" s="3">
        <v>0</v>
      </c>
    </row>
    <row r="12" spans="1:14" x14ac:dyDescent="0.2">
      <c r="A12" s="58" t="s">
        <v>1093</v>
      </c>
      <c r="B12" s="58" t="s">
        <v>285</v>
      </c>
      <c r="C12" s="3">
        <v>600</v>
      </c>
      <c r="D12" s="3">
        <v>500</v>
      </c>
      <c r="E12" s="151">
        <v>364.1</v>
      </c>
      <c r="F12" s="3">
        <v>800</v>
      </c>
      <c r="G12" s="207">
        <v>700</v>
      </c>
      <c r="H12" s="151">
        <v>373.47</v>
      </c>
      <c r="I12" s="151"/>
      <c r="J12" s="3">
        <v>700</v>
      </c>
      <c r="K12" s="3">
        <v>700</v>
      </c>
      <c r="L12" s="3">
        <v>269.99</v>
      </c>
      <c r="M12" s="3">
        <v>700</v>
      </c>
      <c r="N12" s="3">
        <v>700</v>
      </c>
    </row>
    <row r="13" spans="1:14" x14ac:dyDescent="0.2">
      <c r="A13" s="58" t="s">
        <v>1094</v>
      </c>
      <c r="B13" s="58" t="s">
        <v>1095</v>
      </c>
      <c r="C13" s="3">
        <v>12000</v>
      </c>
      <c r="D13" s="3">
        <v>9000</v>
      </c>
      <c r="E13" s="151">
        <v>7172.74</v>
      </c>
      <c r="F13" s="3">
        <v>9000</v>
      </c>
      <c r="G13" s="207">
        <v>10300</v>
      </c>
      <c r="H13" s="151">
        <v>2609.2199999999998</v>
      </c>
      <c r="I13" s="151"/>
      <c r="J13" s="3">
        <v>10300</v>
      </c>
      <c r="K13" s="3">
        <v>10300</v>
      </c>
      <c r="L13" s="3">
        <v>11437.68</v>
      </c>
      <c r="M13" s="3">
        <v>15000</v>
      </c>
      <c r="N13" s="3">
        <v>15000</v>
      </c>
    </row>
    <row r="14" spans="1:14" x14ac:dyDescent="0.2">
      <c r="A14" s="58" t="s">
        <v>1096</v>
      </c>
      <c r="B14" s="58" t="s">
        <v>242</v>
      </c>
      <c r="C14" s="3">
        <v>2600</v>
      </c>
      <c r="D14" s="3">
        <v>2600</v>
      </c>
      <c r="E14" s="151">
        <v>277.86</v>
      </c>
      <c r="F14" s="3">
        <v>2600</v>
      </c>
      <c r="G14" s="207">
        <v>2789.43</v>
      </c>
      <c r="H14" s="151">
        <v>1351.79</v>
      </c>
      <c r="I14" s="151">
        <v>2589.4299999999998</v>
      </c>
      <c r="J14" s="3">
        <v>2589.4299999999998</v>
      </c>
      <c r="K14" s="3">
        <v>2589.4299999999998</v>
      </c>
      <c r="L14" s="3">
        <v>232.1</v>
      </c>
      <c r="M14" s="3">
        <v>2589.4299999999998</v>
      </c>
      <c r="N14" s="3">
        <v>2750</v>
      </c>
    </row>
    <row r="15" spans="1:14" x14ac:dyDescent="0.2">
      <c r="A15" s="58" t="s">
        <v>1097</v>
      </c>
      <c r="B15" s="58" t="s">
        <v>248</v>
      </c>
      <c r="C15" s="3">
        <v>50</v>
      </c>
      <c r="D15" s="3">
        <v>50</v>
      </c>
      <c r="E15" s="151">
        <v>50</v>
      </c>
      <c r="F15" s="3">
        <v>50</v>
      </c>
      <c r="G15" s="207">
        <v>50</v>
      </c>
      <c r="H15" s="151">
        <v>50</v>
      </c>
      <c r="I15" s="151"/>
      <c r="J15" s="3">
        <v>50</v>
      </c>
      <c r="K15" s="3">
        <v>50</v>
      </c>
      <c r="L15" s="3">
        <v>50</v>
      </c>
      <c r="M15" s="3">
        <v>50</v>
      </c>
      <c r="N15" s="3">
        <v>50</v>
      </c>
    </row>
    <row r="16" spans="1:14" x14ac:dyDescent="0.2">
      <c r="A16" s="58" t="s">
        <v>1098</v>
      </c>
      <c r="B16" s="58" t="s">
        <v>250</v>
      </c>
      <c r="C16" s="24">
        <v>1150</v>
      </c>
      <c r="D16" s="3">
        <v>300</v>
      </c>
      <c r="E16" s="151">
        <v>0</v>
      </c>
      <c r="F16" s="3">
        <v>300</v>
      </c>
      <c r="G16" s="207">
        <v>750</v>
      </c>
      <c r="H16" s="151">
        <v>0</v>
      </c>
      <c r="I16" s="151"/>
      <c r="J16" s="3">
        <v>1250</v>
      </c>
      <c r="K16" s="3">
        <v>1250</v>
      </c>
      <c r="L16" s="3">
        <v>0</v>
      </c>
      <c r="M16" s="3">
        <v>1250</v>
      </c>
      <c r="N16" s="3">
        <v>2000</v>
      </c>
    </row>
    <row r="17" spans="1:14" x14ac:dyDescent="0.2">
      <c r="A17" s="58" t="s">
        <v>1099</v>
      </c>
      <c r="B17" s="58" t="s">
        <v>254</v>
      </c>
      <c r="C17" s="24">
        <v>600</v>
      </c>
      <c r="D17" s="3">
        <v>600</v>
      </c>
      <c r="E17" s="151">
        <v>515.95000000000005</v>
      </c>
      <c r="F17" s="3">
        <v>800</v>
      </c>
      <c r="G17" s="207">
        <v>1100</v>
      </c>
      <c r="H17" s="151">
        <v>0</v>
      </c>
      <c r="I17" s="151"/>
      <c r="J17" s="3">
        <v>1100</v>
      </c>
      <c r="K17" s="3">
        <v>1100</v>
      </c>
      <c r="L17" s="3">
        <v>0</v>
      </c>
      <c r="M17" s="3">
        <v>1100</v>
      </c>
      <c r="N17" s="3">
        <v>250</v>
      </c>
    </row>
    <row r="18" spans="1:14" x14ac:dyDescent="0.2">
      <c r="A18" s="58" t="s">
        <v>1100</v>
      </c>
      <c r="B18" s="58" t="s">
        <v>1101</v>
      </c>
      <c r="C18" s="24">
        <v>150</v>
      </c>
      <c r="D18" s="3">
        <v>100</v>
      </c>
      <c r="E18" s="151">
        <v>37.85</v>
      </c>
      <c r="F18" s="3">
        <v>100</v>
      </c>
      <c r="G18" s="207">
        <v>75</v>
      </c>
      <c r="H18" s="151">
        <v>60.61</v>
      </c>
      <c r="I18" s="151">
        <v>200</v>
      </c>
      <c r="J18" s="3">
        <v>350</v>
      </c>
      <c r="K18" s="3">
        <v>350</v>
      </c>
      <c r="L18" s="3">
        <v>35.520000000000003</v>
      </c>
      <c r="M18" s="3">
        <v>350</v>
      </c>
      <c r="N18" s="3">
        <v>350</v>
      </c>
    </row>
    <row r="19" spans="1:14" x14ac:dyDescent="0.2">
      <c r="A19" s="58" t="s">
        <v>1102</v>
      </c>
      <c r="B19" s="58" t="s">
        <v>1103</v>
      </c>
      <c r="C19" s="24">
        <v>6724.4</v>
      </c>
      <c r="D19" s="3">
        <v>6629.62</v>
      </c>
      <c r="E19" s="151">
        <v>3657.42</v>
      </c>
      <c r="F19" s="3">
        <v>6629.62</v>
      </c>
      <c r="G19" s="207">
        <v>8402.5</v>
      </c>
      <c r="H19" s="151">
        <v>0</v>
      </c>
      <c r="I19" s="151"/>
      <c r="J19" s="3">
        <v>8402.5</v>
      </c>
      <c r="K19" s="3">
        <v>8402.5</v>
      </c>
      <c r="L19" s="3">
        <v>0</v>
      </c>
      <c r="M19" s="3">
        <v>8402.5</v>
      </c>
      <c r="N19" s="3">
        <v>9000</v>
      </c>
    </row>
    <row r="20" spans="1:14" x14ac:dyDescent="0.2">
      <c r="A20" s="58" t="s">
        <v>1483</v>
      </c>
      <c r="B20" s="58" t="s">
        <v>1536</v>
      </c>
      <c r="C20" s="24"/>
      <c r="D20" s="3"/>
      <c r="E20" s="151"/>
      <c r="F20" s="3"/>
      <c r="G20" s="207">
        <v>4543.1499999999996</v>
      </c>
      <c r="H20" s="151">
        <v>0</v>
      </c>
      <c r="I20" s="151"/>
      <c r="J20" s="3"/>
      <c r="K20" s="3"/>
      <c r="L20" s="3"/>
      <c r="M20" s="3"/>
      <c r="N20" s="3"/>
    </row>
    <row r="21" spans="1:14" x14ac:dyDescent="0.2">
      <c r="A21" s="58" t="s">
        <v>1484</v>
      </c>
      <c r="B21" s="58" t="s">
        <v>1537</v>
      </c>
      <c r="C21" s="24"/>
      <c r="D21" s="3"/>
      <c r="E21" s="151"/>
      <c r="F21" s="3"/>
      <c r="G21" s="207">
        <v>0</v>
      </c>
      <c r="H21" s="151">
        <v>0</v>
      </c>
      <c r="I21" s="151"/>
      <c r="J21" s="3"/>
      <c r="K21" s="3"/>
      <c r="L21" s="3"/>
      <c r="M21" s="3"/>
      <c r="N21" s="3"/>
    </row>
    <row r="22" spans="1:14" x14ac:dyDescent="0.2">
      <c r="A22" s="58" t="s">
        <v>1104</v>
      </c>
      <c r="B22" s="58" t="s">
        <v>329</v>
      </c>
      <c r="C22" s="24">
        <v>50</v>
      </c>
      <c r="D22" s="3">
        <v>50</v>
      </c>
      <c r="E22" s="151">
        <v>0</v>
      </c>
      <c r="F22" s="3">
        <v>50</v>
      </c>
      <c r="G22" s="207">
        <v>50</v>
      </c>
      <c r="H22" s="151">
        <v>0</v>
      </c>
      <c r="I22" s="151"/>
      <c r="J22" s="3">
        <v>50</v>
      </c>
      <c r="K22" s="3">
        <v>50</v>
      </c>
      <c r="L22" s="3">
        <v>0</v>
      </c>
      <c r="M22" s="3">
        <v>50</v>
      </c>
      <c r="N22" s="3">
        <v>50</v>
      </c>
    </row>
    <row r="23" spans="1:14" x14ac:dyDescent="0.2">
      <c r="A23" s="58"/>
      <c r="B23" s="58"/>
      <c r="C23" s="3"/>
      <c r="D23" s="3"/>
      <c r="E23" s="151"/>
      <c r="F23" s="151"/>
      <c r="G23" s="207"/>
      <c r="H23" s="151"/>
      <c r="I23" s="151"/>
      <c r="J23" s="3"/>
      <c r="K23" s="3"/>
      <c r="L23" s="3"/>
      <c r="M23" s="3"/>
      <c r="N23" s="2"/>
    </row>
    <row r="24" spans="1:14" ht="15" x14ac:dyDescent="0.25">
      <c r="A24" s="58"/>
      <c r="B24" s="58"/>
      <c r="C24" s="4">
        <f t="shared" ref="C24:H24" si="0">SUM(C4:C23)</f>
        <v>39846.258750000001</v>
      </c>
      <c r="D24" s="4">
        <f t="shared" si="0"/>
        <v>39045.568749999999</v>
      </c>
      <c r="E24" s="161">
        <f t="shared" si="0"/>
        <v>19042.32</v>
      </c>
      <c r="F24" s="161">
        <f t="shared" si="0"/>
        <v>39699.023825000004</v>
      </c>
      <c r="G24" s="208">
        <f t="shared" si="0"/>
        <v>53432.880000000005</v>
      </c>
      <c r="H24" s="161">
        <f t="shared" si="0"/>
        <v>17956.620000000003</v>
      </c>
      <c r="I24" s="161">
        <f>SUM(I4:I22)</f>
        <v>2789.43</v>
      </c>
      <c r="J24" s="4">
        <f>SUM(J4:J22)</f>
        <v>48835.226499999997</v>
      </c>
      <c r="K24" s="4">
        <f>SUM(K4:K22)</f>
        <v>48835.226499999997</v>
      </c>
      <c r="L24" s="4">
        <f>SUM(L4:L22)</f>
        <v>25973.219999999998</v>
      </c>
      <c r="M24" s="4">
        <f>SUM(M4:M22)</f>
        <v>59721.284999999996</v>
      </c>
      <c r="N24" s="50">
        <f>SUM(N4:N23)</f>
        <v>61160.555</v>
      </c>
    </row>
    <row r="25" spans="1:14" x14ac:dyDescent="0.2">
      <c r="A25" s="14"/>
      <c r="B25" s="14"/>
      <c r="C25" s="3"/>
      <c r="D25" s="2"/>
      <c r="E25" s="151"/>
      <c r="F25" s="151"/>
      <c r="G25" s="207"/>
      <c r="H25" s="151"/>
      <c r="I25" s="151"/>
      <c r="J25" s="3"/>
      <c r="K25" s="3"/>
      <c r="L25" s="3"/>
      <c r="M25" s="3"/>
      <c r="N25" s="2"/>
    </row>
    <row r="26" spans="1:14" x14ac:dyDescent="0.2">
      <c r="A26" s="14"/>
      <c r="B26" s="14"/>
      <c r="C26" s="3"/>
      <c r="D26" s="2"/>
      <c r="E26" s="151"/>
      <c r="F26" s="151"/>
      <c r="G26" s="207"/>
      <c r="H26" s="151"/>
      <c r="I26" s="151"/>
      <c r="J26" s="3"/>
      <c r="K26" s="3"/>
      <c r="L26" s="3"/>
      <c r="M26" s="3"/>
      <c r="N26" s="2"/>
    </row>
    <row r="27" spans="1:14" x14ac:dyDescent="0.2">
      <c r="A27" s="14"/>
      <c r="B27" s="14"/>
      <c r="C27" s="3"/>
      <c r="D27" s="2"/>
      <c r="E27" s="151"/>
      <c r="F27" s="151"/>
      <c r="G27" s="207"/>
      <c r="H27" s="151"/>
      <c r="I27" s="151"/>
      <c r="J27" s="3"/>
      <c r="K27" s="3"/>
      <c r="L27" s="3"/>
      <c r="M27" s="3"/>
      <c r="N27" s="2"/>
    </row>
  </sheetData>
  <phoneticPr fontId="24" type="noConversion"/>
  <pageMargins left="0.25" right="0.25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50"/>
  <sheetViews>
    <sheetView workbookViewId="0">
      <selection activeCell="L1" sqref="L1:L1048576"/>
    </sheetView>
  </sheetViews>
  <sheetFormatPr defaultRowHeight="14.25" x14ac:dyDescent="0.2"/>
  <cols>
    <col min="1" max="1" width="10.75" style="80" customWidth="1"/>
    <col min="2" max="2" width="34" customWidth="1"/>
    <col min="3" max="3" width="12.375" hidden="1" customWidth="1"/>
    <col min="4" max="4" width="11.375" hidden="1" customWidth="1"/>
    <col min="5" max="5" width="12" hidden="1" customWidth="1"/>
    <col min="6" max="6" width="13.375" hidden="1" customWidth="1"/>
    <col min="7" max="7" width="12.5" hidden="1" customWidth="1"/>
    <col min="8" max="8" width="13" hidden="1" customWidth="1"/>
    <col min="9" max="9" width="11" hidden="1" customWidth="1"/>
    <col min="10" max="10" width="12.5" style="46" hidden="1" customWidth="1"/>
    <col min="11" max="11" width="14" hidden="1" customWidth="1"/>
    <col min="12" max="12" width="12.5" hidden="1" customWidth="1"/>
    <col min="13" max="13" width="12.75" customWidth="1"/>
  </cols>
  <sheetData>
    <row r="1" spans="1:13" ht="60" x14ac:dyDescent="0.25">
      <c r="A1" s="131"/>
      <c r="B1" s="132" t="s">
        <v>27</v>
      </c>
      <c r="C1" s="20" t="s">
        <v>1105</v>
      </c>
      <c r="D1" s="143" t="s">
        <v>1106</v>
      </c>
      <c r="E1" s="47" t="s">
        <v>1351</v>
      </c>
      <c r="F1" s="162" t="s">
        <v>1352</v>
      </c>
      <c r="G1" s="143" t="s">
        <v>1508</v>
      </c>
      <c r="H1" s="143" t="s">
        <v>1494</v>
      </c>
      <c r="I1" s="143" t="s">
        <v>1549</v>
      </c>
      <c r="J1" s="47" t="s">
        <v>1587</v>
      </c>
      <c r="K1" s="276" t="s">
        <v>1568</v>
      </c>
      <c r="L1" s="276" t="s">
        <v>1634</v>
      </c>
      <c r="M1" s="276" t="s">
        <v>1686</v>
      </c>
    </row>
    <row r="2" spans="1:13" x14ac:dyDescent="0.2">
      <c r="A2" s="133"/>
      <c r="B2" s="134"/>
      <c r="C2" s="2"/>
      <c r="D2" s="2"/>
      <c r="E2" s="151"/>
      <c r="F2" s="163"/>
      <c r="G2" s="2"/>
      <c r="H2" s="151"/>
      <c r="I2" s="151"/>
      <c r="J2" s="3"/>
      <c r="K2" s="3"/>
      <c r="L2" s="3"/>
      <c r="M2" s="536"/>
    </row>
    <row r="3" spans="1:13" x14ac:dyDescent="0.2">
      <c r="A3" s="133" t="s">
        <v>1107</v>
      </c>
      <c r="B3" s="133" t="s">
        <v>1108</v>
      </c>
      <c r="C3" s="9">
        <v>16380</v>
      </c>
      <c r="D3" s="3">
        <f>SUM(C3*1.03)</f>
        <v>16871.400000000001</v>
      </c>
      <c r="E3" s="151">
        <v>1771.2</v>
      </c>
      <c r="F3" s="163">
        <v>16871.400000000001</v>
      </c>
      <c r="G3" s="3">
        <v>13526.48</v>
      </c>
      <c r="H3" s="151">
        <v>1588.84</v>
      </c>
      <c r="I3" s="3">
        <v>13526.48</v>
      </c>
      <c r="J3" s="3">
        <v>15000</v>
      </c>
      <c r="K3" s="3">
        <v>5187.28</v>
      </c>
      <c r="L3" s="3">
        <v>15000</v>
      </c>
      <c r="M3" s="545">
        <v>15001</v>
      </c>
    </row>
    <row r="4" spans="1:13" x14ac:dyDescent="0.2">
      <c r="A4" s="133" t="s">
        <v>1109</v>
      </c>
      <c r="B4" s="133" t="s">
        <v>1110</v>
      </c>
      <c r="C4" s="135">
        <v>0</v>
      </c>
      <c r="D4" s="3"/>
      <c r="E4" s="151">
        <v>0</v>
      </c>
      <c r="F4" s="163"/>
      <c r="G4" s="151">
        <v>0</v>
      </c>
      <c r="H4" s="236">
        <v>0</v>
      </c>
      <c r="I4" s="151">
        <v>0</v>
      </c>
      <c r="J4" s="3"/>
      <c r="K4" s="3">
        <v>0</v>
      </c>
      <c r="L4" s="3"/>
      <c r="M4" s="545"/>
    </row>
    <row r="5" spans="1:13" x14ac:dyDescent="0.2">
      <c r="A5" s="133" t="s">
        <v>1111</v>
      </c>
      <c r="B5" s="133" t="s">
        <v>492</v>
      </c>
      <c r="C5" s="9">
        <v>1950</v>
      </c>
      <c r="D5" s="3">
        <v>1950</v>
      </c>
      <c r="E5" s="151">
        <v>25.14</v>
      </c>
      <c r="F5" s="163">
        <v>1950</v>
      </c>
      <c r="G5" s="151">
        <v>1000</v>
      </c>
      <c r="H5" s="151">
        <v>0</v>
      </c>
      <c r="I5" s="151">
        <v>1000</v>
      </c>
      <c r="J5" s="151">
        <v>1000</v>
      </c>
      <c r="K5" s="151">
        <v>0</v>
      </c>
      <c r="L5" s="151"/>
      <c r="M5" s="545"/>
    </row>
    <row r="6" spans="1:13" x14ac:dyDescent="0.2">
      <c r="A6" s="133" t="s">
        <v>1112</v>
      </c>
      <c r="B6" s="133" t="s">
        <v>226</v>
      </c>
      <c r="C6" s="9">
        <v>300</v>
      </c>
      <c r="D6" s="3">
        <v>300</v>
      </c>
      <c r="E6" s="151">
        <v>27.2</v>
      </c>
      <c r="F6" s="163">
        <v>300</v>
      </c>
      <c r="G6" s="151">
        <v>236.58</v>
      </c>
      <c r="H6" s="151">
        <v>23.8</v>
      </c>
      <c r="I6" s="151">
        <v>236.58</v>
      </c>
      <c r="J6" s="151">
        <v>236.58</v>
      </c>
      <c r="K6" s="151">
        <v>82.58</v>
      </c>
      <c r="L6" s="151"/>
      <c r="M6" s="545"/>
    </row>
    <row r="7" spans="1:13" x14ac:dyDescent="0.2">
      <c r="A7" s="133" t="s">
        <v>1113</v>
      </c>
      <c r="B7" s="133" t="s">
        <v>228</v>
      </c>
      <c r="C7" s="9">
        <f>SUM($C$3:$C$5)*0.129</f>
        <v>2364.5700000000002</v>
      </c>
      <c r="D7" s="3">
        <f>SUM(D$3:D$5)*0.12</f>
        <v>2258.5680000000002</v>
      </c>
      <c r="E7" s="151">
        <v>0</v>
      </c>
      <c r="F7" s="163">
        <v>2258.5700000000002</v>
      </c>
      <c r="G7" s="3">
        <v>1612.44</v>
      </c>
      <c r="H7" s="151">
        <v>0</v>
      </c>
      <c r="I7" s="49" cm="1">
        <f t="array" ref="I7">SUM(I$4:I$5+I$11)*0.099</f>
        <v>198</v>
      </c>
      <c r="J7" s="49">
        <f>SUM(J$3:J$5)*0.099</f>
        <v>1584</v>
      </c>
      <c r="K7" s="49">
        <v>0</v>
      </c>
      <c r="L7" s="49">
        <f>SUM(L$3:L$5)*0.095</f>
        <v>1425</v>
      </c>
      <c r="M7" s="546">
        <f>SUM(M$3:M$5)*0.085</f>
        <v>1275.085</v>
      </c>
    </row>
    <row r="8" spans="1:13" x14ac:dyDescent="0.2">
      <c r="A8" s="133" t="s">
        <v>1114</v>
      </c>
      <c r="B8" s="133" t="s">
        <v>230</v>
      </c>
      <c r="C8" s="9">
        <f>SUM($C$3:$C$5)*0.0145</f>
        <v>265.78500000000003</v>
      </c>
      <c r="D8" s="3">
        <f>SUM(D$3:D$5)*0.0145</f>
        <v>272.91030000000001</v>
      </c>
      <c r="E8" s="151">
        <v>25.69</v>
      </c>
      <c r="F8" s="163">
        <v>272.91000000000003</v>
      </c>
      <c r="G8" s="3">
        <v>210.63</v>
      </c>
      <c r="H8" s="151">
        <v>23.04</v>
      </c>
      <c r="I8" s="49">
        <f ca="1">SUM(I$4:I$9)*0.0145</f>
        <v>1110.2360000000001</v>
      </c>
      <c r="J8" s="49">
        <f>SUM(J$3:J$5)*0.0145</f>
        <v>232</v>
      </c>
      <c r="K8" s="49">
        <v>85.46</v>
      </c>
      <c r="L8" s="49">
        <f>SUM(L$3:L$5)*0.0145</f>
        <v>217.5</v>
      </c>
      <c r="M8" s="546">
        <f>SUM(M$3:M$5)*0.0145</f>
        <v>217.5145</v>
      </c>
    </row>
    <row r="9" spans="1:13" x14ac:dyDescent="0.2">
      <c r="A9" s="133" t="s">
        <v>1115</v>
      </c>
      <c r="B9" s="133" t="s">
        <v>232</v>
      </c>
      <c r="C9" s="9">
        <f>SUM($C$3:$C$5)*0.062</f>
        <v>1136.46</v>
      </c>
      <c r="D9" s="3">
        <f>SUM(D$3:D$5)*0.062</f>
        <v>1166.9268000000002</v>
      </c>
      <c r="E9" s="151">
        <v>109.82</v>
      </c>
      <c r="F9" s="163">
        <v>1166.93</v>
      </c>
      <c r="G9" s="3">
        <v>900.64</v>
      </c>
      <c r="H9" s="151">
        <v>98.51</v>
      </c>
      <c r="I9" s="49" cm="1">
        <f t="array" aca="1" ref="I9" ca="1">SUM(I$4:I$11*0.062)</f>
        <v>4821.6159999999991</v>
      </c>
      <c r="J9" s="49">
        <f>SUM(J$3:J$5)*0.062</f>
        <v>992</v>
      </c>
      <c r="K9" s="49">
        <v>365.41</v>
      </c>
      <c r="L9" s="49">
        <f>SUM(L$3:L$5)*0.062</f>
        <v>930</v>
      </c>
      <c r="M9" s="546">
        <f>SUM(M$3:M$5)*0.062</f>
        <v>930.06200000000001</v>
      </c>
    </row>
    <row r="10" spans="1:13" x14ac:dyDescent="0.2">
      <c r="A10" s="133" t="s">
        <v>1598</v>
      </c>
      <c r="B10" s="133" t="s">
        <v>1571</v>
      </c>
      <c r="C10" s="9"/>
      <c r="D10" s="3"/>
      <c r="E10" s="151"/>
      <c r="F10" s="163"/>
      <c r="G10" s="3"/>
      <c r="H10" s="151"/>
      <c r="I10" s="49"/>
      <c r="J10" s="49">
        <v>0</v>
      </c>
      <c r="K10" s="49">
        <v>404.74</v>
      </c>
      <c r="L10" s="49"/>
      <c r="M10" s="546"/>
    </row>
    <row r="11" spans="1:13" x14ac:dyDescent="0.2">
      <c r="A11" s="133" t="s">
        <v>1116</v>
      </c>
      <c r="B11" s="133" t="s">
        <v>285</v>
      </c>
      <c r="C11" s="9">
        <v>500</v>
      </c>
      <c r="D11" s="3">
        <v>500</v>
      </c>
      <c r="E11" s="151">
        <v>53.96</v>
      </c>
      <c r="F11" s="163">
        <v>500</v>
      </c>
      <c r="G11" s="151">
        <v>500</v>
      </c>
      <c r="H11" s="151">
        <v>0</v>
      </c>
      <c r="I11" s="151">
        <v>500</v>
      </c>
      <c r="J11" s="151">
        <v>500</v>
      </c>
      <c r="K11" s="151">
        <v>0</v>
      </c>
      <c r="L11" s="151">
        <v>200</v>
      </c>
      <c r="M11" s="545">
        <v>200</v>
      </c>
    </row>
    <row r="12" spans="1:13" x14ac:dyDescent="0.2">
      <c r="A12" s="133" t="s">
        <v>1117</v>
      </c>
      <c r="B12" s="133" t="s">
        <v>242</v>
      </c>
      <c r="C12" s="9">
        <v>760</v>
      </c>
      <c r="D12" s="3">
        <v>150</v>
      </c>
      <c r="E12" s="151">
        <v>0</v>
      </c>
      <c r="F12" s="163">
        <v>50</v>
      </c>
      <c r="G12" s="151">
        <v>50</v>
      </c>
      <c r="H12" s="151">
        <v>0</v>
      </c>
      <c r="I12" s="151">
        <v>50</v>
      </c>
      <c r="J12" s="151">
        <v>50</v>
      </c>
      <c r="K12" s="151">
        <v>0</v>
      </c>
      <c r="L12" s="151">
        <v>50</v>
      </c>
      <c r="M12" s="545">
        <v>50</v>
      </c>
    </row>
    <row r="13" spans="1:13" x14ac:dyDescent="0.2">
      <c r="A13" s="133" t="s">
        <v>1118</v>
      </c>
      <c r="B13" s="133" t="s">
        <v>506</v>
      </c>
      <c r="C13" s="9">
        <v>500</v>
      </c>
      <c r="D13" s="3">
        <v>200</v>
      </c>
      <c r="E13" s="151">
        <v>0</v>
      </c>
      <c r="F13" s="163">
        <v>100</v>
      </c>
      <c r="G13" s="151">
        <v>100</v>
      </c>
      <c r="H13" s="151">
        <v>0</v>
      </c>
      <c r="I13" s="151">
        <v>100</v>
      </c>
      <c r="J13" s="151">
        <v>100</v>
      </c>
      <c r="K13" s="151">
        <v>0</v>
      </c>
      <c r="L13" s="151">
        <v>100</v>
      </c>
      <c r="M13" s="545">
        <v>100</v>
      </c>
    </row>
    <row r="14" spans="1:13" x14ac:dyDescent="0.2">
      <c r="A14" s="133" t="s">
        <v>1119</v>
      </c>
      <c r="B14" s="133" t="s">
        <v>1120</v>
      </c>
      <c r="C14" s="9">
        <v>3000</v>
      </c>
      <c r="D14" s="3">
        <v>2000</v>
      </c>
      <c r="E14" s="151">
        <v>83.42</v>
      </c>
      <c r="F14" s="163">
        <v>1000</v>
      </c>
      <c r="G14" s="151">
        <v>2000</v>
      </c>
      <c r="H14" s="151">
        <v>0</v>
      </c>
      <c r="I14" s="151">
        <v>2000</v>
      </c>
      <c r="J14" s="151">
        <v>2500</v>
      </c>
      <c r="K14" s="151">
        <v>0</v>
      </c>
      <c r="L14" s="151">
        <v>2000</v>
      </c>
      <c r="M14" s="547">
        <v>1000</v>
      </c>
    </row>
    <row r="15" spans="1:13" x14ac:dyDescent="0.2">
      <c r="A15" s="133" t="s">
        <v>1121</v>
      </c>
      <c r="B15" s="133" t="s">
        <v>250</v>
      </c>
      <c r="C15" s="9">
        <v>1500</v>
      </c>
      <c r="D15" s="3">
        <v>3000</v>
      </c>
      <c r="E15" s="151">
        <v>0</v>
      </c>
      <c r="F15" s="163">
        <v>1000</v>
      </c>
      <c r="G15" s="151">
        <v>1500</v>
      </c>
      <c r="H15" s="151">
        <v>0</v>
      </c>
      <c r="I15" s="151">
        <v>1500</v>
      </c>
      <c r="J15" s="151">
        <v>1500</v>
      </c>
      <c r="K15" s="151">
        <v>0</v>
      </c>
      <c r="L15" s="151">
        <v>1500</v>
      </c>
      <c r="M15" s="547">
        <v>500</v>
      </c>
    </row>
    <row r="16" spans="1:13" x14ac:dyDescent="0.2">
      <c r="A16" s="133" t="s">
        <v>1122</v>
      </c>
      <c r="B16" s="133" t="s">
        <v>252</v>
      </c>
      <c r="C16" s="9">
        <v>400</v>
      </c>
      <c r="D16" s="3">
        <v>400</v>
      </c>
      <c r="E16" s="151">
        <v>0</v>
      </c>
      <c r="F16" s="163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547"/>
    </row>
    <row r="17" spans="1:13" x14ac:dyDescent="0.2">
      <c r="A17" s="133" t="s">
        <v>1123</v>
      </c>
      <c r="B17" s="133" t="s">
        <v>254</v>
      </c>
      <c r="C17" s="9">
        <v>900</v>
      </c>
      <c r="D17" s="3">
        <v>900</v>
      </c>
      <c r="E17" s="151">
        <v>0</v>
      </c>
      <c r="F17" s="163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547"/>
    </row>
    <row r="18" spans="1:13" x14ac:dyDescent="0.2">
      <c r="A18" s="133" t="s">
        <v>1124</v>
      </c>
      <c r="B18" s="133" t="s">
        <v>256</v>
      </c>
      <c r="C18" s="9">
        <v>1000</v>
      </c>
      <c r="D18" s="3">
        <v>1000</v>
      </c>
      <c r="E18" s="151">
        <v>0</v>
      </c>
      <c r="F18" s="163">
        <v>500</v>
      </c>
      <c r="G18" s="151">
        <v>500</v>
      </c>
      <c r="H18" s="151">
        <v>0</v>
      </c>
      <c r="I18" s="151">
        <v>500</v>
      </c>
      <c r="J18" s="151">
        <v>500</v>
      </c>
      <c r="K18" s="151">
        <v>0</v>
      </c>
      <c r="L18" s="151">
        <v>500</v>
      </c>
      <c r="M18" s="547">
        <v>500</v>
      </c>
    </row>
    <row r="19" spans="1:13" x14ac:dyDescent="0.2">
      <c r="A19" s="133" t="s">
        <v>1125</v>
      </c>
      <c r="B19" s="133" t="s">
        <v>1126</v>
      </c>
      <c r="C19" s="9">
        <v>2000</v>
      </c>
      <c r="D19" s="3">
        <v>2000</v>
      </c>
      <c r="E19" s="151">
        <v>14</v>
      </c>
      <c r="F19" s="163">
        <v>2000</v>
      </c>
      <c r="G19" s="151">
        <v>2000</v>
      </c>
      <c r="H19" s="151">
        <v>774.58</v>
      </c>
      <c r="I19" s="151">
        <v>2000</v>
      </c>
      <c r="J19" s="151">
        <v>3000</v>
      </c>
      <c r="K19" s="151">
        <v>302.99</v>
      </c>
      <c r="L19" s="151">
        <v>3000</v>
      </c>
      <c r="M19" s="547">
        <v>5000</v>
      </c>
    </row>
    <row r="20" spans="1:13" x14ac:dyDescent="0.2">
      <c r="A20" s="133" t="s">
        <v>1127</v>
      </c>
      <c r="B20" s="133" t="s">
        <v>1128</v>
      </c>
      <c r="C20" s="9">
        <v>0</v>
      </c>
      <c r="D20" s="3"/>
      <c r="E20" s="151"/>
      <c r="F20" s="163"/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/>
      <c r="M20" s="547"/>
    </row>
    <row r="21" spans="1:13" x14ac:dyDescent="0.2">
      <c r="A21" s="133" t="s">
        <v>1129</v>
      </c>
      <c r="B21" s="133" t="s">
        <v>258</v>
      </c>
      <c r="C21" s="9">
        <v>600</v>
      </c>
      <c r="D21" s="3">
        <v>600</v>
      </c>
      <c r="E21" s="151"/>
      <c r="F21" s="163">
        <v>600</v>
      </c>
      <c r="G21" s="151">
        <v>600</v>
      </c>
      <c r="H21" s="151">
        <v>0</v>
      </c>
      <c r="I21" s="151">
        <v>600</v>
      </c>
      <c r="J21" s="151">
        <v>600</v>
      </c>
      <c r="K21" s="151">
        <v>0</v>
      </c>
      <c r="L21" s="151">
        <v>100</v>
      </c>
      <c r="M21" s="547">
        <v>100</v>
      </c>
    </row>
    <row r="22" spans="1:13" x14ac:dyDescent="0.2">
      <c r="A22" s="133" t="s">
        <v>1130</v>
      </c>
      <c r="B22" s="133" t="s">
        <v>260</v>
      </c>
      <c r="C22" s="9">
        <v>1500</v>
      </c>
      <c r="D22" s="3">
        <v>1000</v>
      </c>
      <c r="E22" s="151">
        <v>769</v>
      </c>
      <c r="F22" s="163">
        <v>500</v>
      </c>
      <c r="G22" s="151">
        <v>500</v>
      </c>
      <c r="H22" s="151">
        <v>72</v>
      </c>
      <c r="I22" s="151">
        <v>500</v>
      </c>
      <c r="J22" s="151">
        <v>500</v>
      </c>
      <c r="K22" s="151">
        <v>0</v>
      </c>
      <c r="L22" s="151"/>
      <c r="M22" s="547"/>
    </row>
    <row r="23" spans="1:13" x14ac:dyDescent="0.2">
      <c r="A23" s="133" t="s">
        <v>1131</v>
      </c>
      <c r="B23" s="133" t="s">
        <v>1132</v>
      </c>
      <c r="C23" s="9">
        <v>2600</v>
      </c>
      <c r="D23" s="3">
        <v>4000</v>
      </c>
      <c r="E23" s="151">
        <v>0</v>
      </c>
      <c r="F23" s="163"/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/>
      <c r="M23" s="547"/>
    </row>
    <row r="24" spans="1:13" x14ac:dyDescent="0.2">
      <c r="A24" s="133" t="s">
        <v>1133</v>
      </c>
      <c r="B24" s="133" t="s">
        <v>1134</v>
      </c>
      <c r="C24" s="9">
        <v>500</v>
      </c>
      <c r="D24" s="3">
        <v>500</v>
      </c>
      <c r="E24" s="151">
        <v>0</v>
      </c>
      <c r="F24" s="163">
        <v>750</v>
      </c>
      <c r="G24" s="151">
        <v>750</v>
      </c>
      <c r="H24" s="151">
        <v>0</v>
      </c>
      <c r="I24" s="151">
        <v>750</v>
      </c>
      <c r="J24" s="151">
        <v>750</v>
      </c>
      <c r="K24" s="151">
        <v>0</v>
      </c>
      <c r="L24" s="151">
        <v>550</v>
      </c>
      <c r="M24" s="547">
        <v>250</v>
      </c>
    </row>
    <row r="25" spans="1:13" x14ac:dyDescent="0.2">
      <c r="A25" s="133" t="s">
        <v>1135</v>
      </c>
      <c r="B25" s="133" t="s">
        <v>1136</v>
      </c>
      <c r="C25" s="9">
        <v>400</v>
      </c>
      <c r="D25" s="3">
        <v>400</v>
      </c>
      <c r="E25" s="151">
        <v>0</v>
      </c>
      <c r="F25" s="163">
        <v>0</v>
      </c>
      <c r="G25" s="151">
        <v>500</v>
      </c>
      <c r="H25" s="151">
        <v>0</v>
      </c>
      <c r="I25" s="151">
        <v>500</v>
      </c>
      <c r="J25" s="151">
        <v>500</v>
      </c>
      <c r="K25" s="151">
        <v>0</v>
      </c>
      <c r="L25" s="151">
        <v>500</v>
      </c>
      <c r="M25" s="547">
        <v>500</v>
      </c>
    </row>
    <row r="26" spans="1:13" x14ac:dyDescent="0.2">
      <c r="A26" s="79" t="s">
        <v>1137</v>
      </c>
      <c r="B26" s="133" t="s">
        <v>1138</v>
      </c>
      <c r="C26" s="9"/>
      <c r="D26" s="3"/>
      <c r="E26" s="151">
        <v>0</v>
      </c>
      <c r="F26" s="163"/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1"/>
      <c r="M26" s="547"/>
    </row>
    <row r="27" spans="1:13" x14ac:dyDescent="0.2">
      <c r="A27" s="133" t="s">
        <v>1139</v>
      </c>
      <c r="B27" s="133" t="s">
        <v>1140</v>
      </c>
      <c r="C27" s="9">
        <v>1440</v>
      </c>
      <c r="D27" s="3"/>
      <c r="E27" s="151">
        <v>0</v>
      </c>
      <c r="F27" s="163"/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/>
      <c r="M27" s="547"/>
    </row>
    <row r="28" spans="1:13" x14ac:dyDescent="0.2">
      <c r="A28" s="133" t="s">
        <v>1141</v>
      </c>
      <c r="B28" s="133" t="s">
        <v>1142</v>
      </c>
      <c r="C28" s="9">
        <v>1500</v>
      </c>
      <c r="D28" s="3"/>
      <c r="E28" s="151">
        <v>0</v>
      </c>
      <c r="F28" s="163"/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/>
      <c r="M28" s="547"/>
    </row>
    <row r="29" spans="1:13" x14ac:dyDescent="0.2">
      <c r="A29" s="133" t="s">
        <v>1143</v>
      </c>
      <c r="B29" s="133" t="s">
        <v>1144</v>
      </c>
      <c r="C29" s="9">
        <v>3000</v>
      </c>
      <c r="D29" s="3">
        <v>3000</v>
      </c>
      <c r="E29" s="151">
        <v>0</v>
      </c>
      <c r="F29" s="163">
        <v>6000</v>
      </c>
      <c r="G29" s="151">
        <v>2263.42</v>
      </c>
      <c r="H29" s="151">
        <v>0</v>
      </c>
      <c r="I29" s="151">
        <v>2263.42</v>
      </c>
      <c r="J29" s="151">
        <v>2263.42</v>
      </c>
      <c r="K29" s="151">
        <v>0</v>
      </c>
      <c r="L29" s="151">
        <v>2500</v>
      </c>
      <c r="M29" s="547">
        <v>3800</v>
      </c>
    </row>
    <row r="30" spans="1:13" x14ac:dyDescent="0.2">
      <c r="A30" s="133" t="s">
        <v>1145</v>
      </c>
      <c r="B30" s="133" t="s">
        <v>1146</v>
      </c>
      <c r="C30" s="9">
        <v>11500</v>
      </c>
      <c r="D30" s="3">
        <v>7500</v>
      </c>
      <c r="E30" s="151">
        <v>0</v>
      </c>
      <c r="F30" s="163"/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/>
      <c r="M30" s="547"/>
    </row>
    <row r="31" spans="1:13" x14ac:dyDescent="0.2">
      <c r="A31" s="133"/>
      <c r="B31" s="133" t="s">
        <v>1147</v>
      </c>
      <c r="C31" s="9"/>
      <c r="D31" s="3">
        <v>2180.96</v>
      </c>
      <c r="E31" s="151">
        <v>0</v>
      </c>
      <c r="F31" s="163">
        <v>2000</v>
      </c>
      <c r="G31" s="151">
        <v>1000</v>
      </c>
      <c r="H31" s="151">
        <v>0</v>
      </c>
      <c r="I31" s="151">
        <v>1000</v>
      </c>
      <c r="J31" s="151">
        <v>1000</v>
      </c>
      <c r="K31" s="151">
        <v>0</v>
      </c>
      <c r="L31" s="151">
        <v>0</v>
      </c>
      <c r="M31" s="547"/>
    </row>
    <row r="32" spans="1:13" x14ac:dyDescent="0.2">
      <c r="A32" s="133"/>
      <c r="B32" s="133" t="s">
        <v>1624</v>
      </c>
      <c r="C32" s="9"/>
      <c r="D32" s="3">
        <v>1000</v>
      </c>
      <c r="E32" s="151">
        <v>0</v>
      </c>
      <c r="F32" s="163">
        <v>500</v>
      </c>
      <c r="G32" s="151">
        <v>500</v>
      </c>
      <c r="H32" s="151">
        <v>0</v>
      </c>
      <c r="I32" s="151">
        <v>500</v>
      </c>
      <c r="J32" s="151">
        <v>500</v>
      </c>
      <c r="K32" s="151">
        <v>0</v>
      </c>
      <c r="L32" s="151">
        <v>1700</v>
      </c>
      <c r="M32" s="547">
        <v>700</v>
      </c>
    </row>
    <row r="33" spans="1:13" ht="15" x14ac:dyDescent="0.25">
      <c r="A33" s="131"/>
      <c r="B33" s="131" t="s">
        <v>1148</v>
      </c>
      <c r="C33" s="43">
        <f>SUM(C3:C30)</f>
        <v>55996.815000000002</v>
      </c>
      <c r="D33" s="4">
        <f t="shared" ref="D33:I33" si="0">SUM(D3:D32)</f>
        <v>53150.765099999997</v>
      </c>
      <c r="E33" s="161">
        <f t="shared" si="0"/>
        <v>2879.4300000000003</v>
      </c>
      <c r="F33" s="164">
        <f t="shared" si="0"/>
        <v>38319.81</v>
      </c>
      <c r="G33" s="161">
        <f t="shared" si="0"/>
        <v>30250.190000000002</v>
      </c>
      <c r="H33" s="161">
        <f t="shared" si="0"/>
        <v>2580.77</v>
      </c>
      <c r="I33" s="161">
        <f t="shared" ca="1" si="0"/>
        <v>30250.190000000002</v>
      </c>
      <c r="J33" s="161">
        <f>SUM(J3:J32)</f>
        <v>33308</v>
      </c>
      <c r="K33" s="161">
        <f>SUM(K3:K32)</f>
        <v>6428.4599999999991</v>
      </c>
      <c r="L33" s="161">
        <f>SUM(L3:L32)</f>
        <v>30272.5</v>
      </c>
      <c r="M33" s="50">
        <f>SUM(M3:M32)</f>
        <v>30123.661500000002</v>
      </c>
    </row>
    <row r="34" spans="1:13" x14ac:dyDescent="0.2">
      <c r="A34" s="133"/>
      <c r="B34" s="133"/>
      <c r="C34" s="2"/>
      <c r="D34" s="3"/>
      <c r="E34" s="151"/>
      <c r="F34" s="163"/>
      <c r="G34" s="2"/>
      <c r="H34" s="151"/>
      <c r="I34" s="151"/>
      <c r="J34" s="3"/>
      <c r="K34" s="3"/>
      <c r="L34" s="3"/>
      <c r="M34" s="2"/>
    </row>
    <row r="35" spans="1:13" x14ac:dyDescent="0.2">
      <c r="A35" s="133"/>
      <c r="B35" s="133"/>
      <c r="C35" s="2"/>
      <c r="D35" s="2"/>
      <c r="E35" s="151"/>
      <c r="F35" s="151"/>
      <c r="G35" s="111"/>
      <c r="H35" s="151"/>
      <c r="I35" s="151"/>
      <c r="J35" s="3"/>
      <c r="K35" s="3"/>
      <c r="L35" s="3"/>
      <c r="M35" s="2"/>
    </row>
    <row r="36" spans="1:13" x14ac:dyDescent="0.2">
      <c r="A36" s="128"/>
      <c r="B36" s="128"/>
    </row>
    <row r="37" spans="1:13" x14ac:dyDescent="0.2">
      <c r="A37" s="128"/>
      <c r="B37" s="128"/>
    </row>
    <row r="38" spans="1:13" x14ac:dyDescent="0.2">
      <c r="A38" s="136"/>
      <c r="B38" s="130"/>
    </row>
    <row r="50" spans="1:2" x14ac:dyDescent="0.2">
      <c r="A50" s="128"/>
      <c r="B50" s="128"/>
    </row>
  </sheetData>
  <phoneticPr fontId="24" type="noConversion"/>
  <pageMargins left="0.25" right="0.25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F8788-6F03-4759-ADFB-A1F0D94C064D}">
  <dimension ref="A1:G11"/>
  <sheetViews>
    <sheetView workbookViewId="0">
      <selection activeCell="C7" sqref="C7"/>
    </sheetView>
  </sheetViews>
  <sheetFormatPr defaultRowHeight="14.25" x14ac:dyDescent="0.2"/>
  <cols>
    <col min="2" max="2" width="18.75" customWidth="1"/>
    <col min="3" max="3" width="16.875" customWidth="1"/>
    <col min="5" max="5" width="15.375" customWidth="1"/>
  </cols>
  <sheetData>
    <row r="1" spans="1:7" x14ac:dyDescent="0.2">
      <c r="A1" s="2"/>
      <c r="B1" s="2" t="s">
        <v>1670</v>
      </c>
      <c r="C1" s="2"/>
      <c r="D1" s="2"/>
      <c r="E1" s="2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ht="15" x14ac:dyDescent="0.25">
      <c r="A3" s="2"/>
      <c r="B3" s="146">
        <v>14344071</v>
      </c>
      <c r="C3" s="2"/>
      <c r="D3" s="2"/>
      <c r="E3" s="2"/>
      <c r="F3" s="2"/>
      <c r="G3" s="2"/>
    </row>
    <row r="4" spans="1:7" ht="15" x14ac:dyDescent="0.25">
      <c r="A4" s="2"/>
      <c r="B4" s="146">
        <v>553118017</v>
      </c>
      <c r="C4" s="2"/>
      <c r="D4" s="2"/>
      <c r="E4" s="2"/>
      <c r="F4" s="2"/>
      <c r="G4" s="2"/>
    </row>
    <row r="5" spans="1:7" ht="15" x14ac:dyDescent="0.25">
      <c r="A5" s="2"/>
      <c r="B5" s="412">
        <f>SUM(B3:B4)</f>
        <v>567462088</v>
      </c>
      <c r="C5" s="50">
        <f>SUM(B3:B4)/100*0.032</f>
        <v>181587.86816000001</v>
      </c>
      <c r="D5" s="2"/>
      <c r="E5" s="2"/>
      <c r="F5" s="2"/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ht="15" x14ac:dyDescent="0.25">
      <c r="A7" s="2"/>
      <c r="B7" s="144" t="s">
        <v>1679</v>
      </c>
      <c r="C7" s="146">
        <f>SUM(B$3:B$4)/100*0.032</f>
        <v>181587.86816000001</v>
      </c>
      <c r="D7" s="2"/>
      <c r="E7" s="2"/>
      <c r="F7" s="2"/>
      <c r="G7" s="2"/>
    </row>
    <row r="8" spans="1:7" x14ac:dyDescent="0.2">
      <c r="A8" s="2"/>
      <c r="B8" s="2"/>
      <c r="C8" s="2"/>
      <c r="D8" s="2"/>
      <c r="E8" s="2"/>
      <c r="F8" s="2"/>
      <c r="G8" s="2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"/>
      <c r="B11" s="2"/>
      <c r="C11" s="2"/>
      <c r="D11" s="2"/>
      <c r="E11" s="2"/>
      <c r="F11" s="2"/>
      <c r="G11" s="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F28"/>
  <sheetViews>
    <sheetView workbookViewId="0">
      <selection activeCell="O4" sqref="O4"/>
    </sheetView>
  </sheetViews>
  <sheetFormatPr defaultRowHeight="14.25" x14ac:dyDescent="0.2"/>
  <cols>
    <col min="1" max="1" width="11.75" style="110" customWidth="1"/>
    <col min="2" max="2" width="26.875" style="18" customWidth="1"/>
    <col min="3" max="3" width="11.75" style="46" hidden="1" customWidth="1"/>
    <col min="4" max="4" width="11.375" customWidth="1"/>
    <col min="5" max="5" width="11" customWidth="1"/>
    <col min="6" max="6" width="10.75" customWidth="1"/>
  </cols>
  <sheetData>
    <row r="2" spans="1:6" ht="45" x14ac:dyDescent="0.25">
      <c r="A2" s="11"/>
      <c r="B2" s="12" t="s">
        <v>28</v>
      </c>
      <c r="C2" s="20" t="s">
        <v>678</v>
      </c>
      <c r="D2" s="143" t="s">
        <v>1350</v>
      </c>
      <c r="E2" s="47" t="s">
        <v>1351</v>
      </c>
      <c r="F2" s="47" t="s">
        <v>1352</v>
      </c>
    </row>
    <row r="3" spans="1:6" x14ac:dyDescent="0.2">
      <c r="A3" s="13"/>
      <c r="B3" s="14"/>
      <c r="C3" s="3"/>
      <c r="D3" s="2"/>
      <c r="E3" s="151"/>
      <c r="F3" s="151"/>
    </row>
    <row r="4" spans="1:6" x14ac:dyDescent="0.2">
      <c r="A4" s="13" t="s">
        <v>1157</v>
      </c>
      <c r="B4" s="14" t="s">
        <v>1158</v>
      </c>
      <c r="C4" s="3">
        <v>26460</v>
      </c>
      <c r="D4" s="2"/>
      <c r="E4" s="151"/>
      <c r="F4" s="151"/>
    </row>
    <row r="5" spans="1:6" x14ac:dyDescent="0.2">
      <c r="A5" s="13" t="s">
        <v>1159</v>
      </c>
      <c r="B5" s="14" t="s">
        <v>1160</v>
      </c>
      <c r="C5" s="3"/>
      <c r="D5" s="2"/>
      <c r="E5" s="151"/>
      <c r="F5" s="151"/>
    </row>
    <row r="6" spans="1:6" x14ac:dyDescent="0.2">
      <c r="A6" s="13" t="s">
        <v>1161</v>
      </c>
      <c r="B6" s="14" t="s">
        <v>220</v>
      </c>
      <c r="C6" s="3"/>
      <c r="D6" s="2"/>
      <c r="E6" s="151"/>
      <c r="F6" s="151"/>
    </row>
    <row r="7" spans="1:6" x14ac:dyDescent="0.2">
      <c r="A7" s="13" t="s">
        <v>1162</v>
      </c>
      <c r="B7" s="14" t="s">
        <v>226</v>
      </c>
      <c r="C7" s="3">
        <v>600</v>
      </c>
      <c r="D7" s="2"/>
      <c r="E7" s="151"/>
      <c r="F7" s="151"/>
    </row>
    <row r="8" spans="1:6" x14ac:dyDescent="0.2">
      <c r="A8" s="13" t="s">
        <v>1163</v>
      </c>
      <c r="B8" s="14" t="s">
        <v>228</v>
      </c>
      <c r="C8" s="15">
        <f>SUM($C$4)*0.129</f>
        <v>3413.34</v>
      </c>
      <c r="D8" s="2"/>
      <c r="E8" s="151"/>
      <c r="F8" s="151"/>
    </row>
    <row r="9" spans="1:6" x14ac:dyDescent="0.2">
      <c r="A9" s="13" t="s">
        <v>1164</v>
      </c>
      <c r="B9" s="14" t="s">
        <v>230</v>
      </c>
      <c r="C9" s="15">
        <f>SUM($C$4)*0.0145</f>
        <v>383.67</v>
      </c>
      <c r="D9" s="2"/>
      <c r="E9" s="151"/>
      <c r="F9" s="151"/>
    </row>
    <row r="10" spans="1:6" x14ac:dyDescent="0.2">
      <c r="A10" s="13" t="s">
        <v>1165</v>
      </c>
      <c r="B10" s="14" t="s">
        <v>232</v>
      </c>
      <c r="C10" s="15">
        <f>SUM($C$4)*0.062</f>
        <v>1640.52</v>
      </c>
      <c r="D10" s="2"/>
      <c r="E10" s="151"/>
      <c r="F10" s="151"/>
    </row>
    <row r="11" spans="1:6" x14ac:dyDescent="0.2">
      <c r="A11" s="13" t="s">
        <v>1166</v>
      </c>
      <c r="B11" s="14" t="s">
        <v>234</v>
      </c>
      <c r="C11" s="3">
        <v>8487.5212800000008</v>
      </c>
      <c r="D11" s="2"/>
      <c r="E11" s="151"/>
      <c r="F11" s="151"/>
    </row>
    <row r="12" spans="1:6" x14ac:dyDescent="0.2">
      <c r="A12" s="13" t="s">
        <v>1167</v>
      </c>
      <c r="B12" s="14" t="s">
        <v>285</v>
      </c>
      <c r="C12" s="3"/>
      <c r="D12" s="2"/>
      <c r="E12" s="151"/>
      <c r="F12" s="151"/>
    </row>
    <row r="13" spans="1:6" x14ac:dyDescent="0.2">
      <c r="A13" s="13" t="s">
        <v>1168</v>
      </c>
      <c r="B13" s="14" t="s">
        <v>1120</v>
      </c>
      <c r="C13" s="3">
        <v>3000</v>
      </c>
      <c r="D13" s="2"/>
      <c r="E13" s="151"/>
      <c r="F13" s="151"/>
    </row>
    <row r="14" spans="1:6" x14ac:dyDescent="0.2">
      <c r="A14" s="13" t="s">
        <v>1169</v>
      </c>
      <c r="B14" s="14" t="s">
        <v>1077</v>
      </c>
      <c r="C14" s="3">
        <v>800</v>
      </c>
      <c r="D14" s="2"/>
      <c r="E14" s="151"/>
      <c r="F14" s="151"/>
    </row>
    <row r="15" spans="1:6" x14ac:dyDescent="0.2">
      <c r="A15" s="13" t="s">
        <v>1170</v>
      </c>
      <c r="B15" s="14" t="s">
        <v>250</v>
      </c>
      <c r="C15" s="3"/>
      <c r="D15" s="2"/>
      <c r="E15" s="151"/>
      <c r="F15" s="151"/>
    </row>
    <row r="16" spans="1:6" x14ac:dyDescent="0.2">
      <c r="A16" s="13" t="s">
        <v>1171</v>
      </c>
      <c r="B16" s="14" t="s">
        <v>254</v>
      </c>
      <c r="C16" s="3">
        <v>1200</v>
      </c>
      <c r="D16" s="2"/>
      <c r="E16" s="151"/>
      <c r="F16" s="151"/>
    </row>
    <row r="17" spans="1:6" x14ac:dyDescent="0.2">
      <c r="A17" s="13" t="s">
        <v>1172</v>
      </c>
      <c r="B17" s="14" t="s">
        <v>651</v>
      </c>
      <c r="C17" s="3">
        <v>8500</v>
      </c>
      <c r="D17" s="2"/>
      <c r="E17" s="151"/>
      <c r="F17" s="151"/>
    </row>
    <row r="18" spans="1:6" x14ac:dyDescent="0.2">
      <c r="A18" s="13" t="s">
        <v>1173</v>
      </c>
      <c r="B18" s="14" t="s">
        <v>659</v>
      </c>
      <c r="C18" s="3">
        <v>800</v>
      </c>
      <c r="D18" s="2"/>
      <c r="E18" s="151"/>
      <c r="F18" s="151"/>
    </row>
    <row r="19" spans="1:6" x14ac:dyDescent="0.2">
      <c r="A19" s="13" t="s">
        <v>1174</v>
      </c>
      <c r="B19" s="14" t="s">
        <v>759</v>
      </c>
      <c r="C19" s="3">
        <v>1000</v>
      </c>
      <c r="D19" s="2"/>
      <c r="E19" s="151"/>
      <c r="F19" s="151"/>
    </row>
    <row r="20" spans="1:6" x14ac:dyDescent="0.2">
      <c r="A20" s="13" t="s">
        <v>1175</v>
      </c>
      <c r="B20" s="14" t="s">
        <v>119</v>
      </c>
      <c r="C20" s="3">
        <v>250</v>
      </c>
      <c r="D20" s="2"/>
      <c r="E20" s="151"/>
      <c r="F20" s="151"/>
    </row>
    <row r="21" spans="1:6" x14ac:dyDescent="0.2">
      <c r="A21" s="13" t="s">
        <v>1176</v>
      </c>
      <c r="B21" s="14" t="s">
        <v>1177</v>
      </c>
      <c r="C21" s="3"/>
      <c r="D21" s="2"/>
      <c r="E21" s="151"/>
      <c r="F21" s="151"/>
    </row>
    <row r="22" spans="1:6" x14ac:dyDescent="0.2">
      <c r="A22" s="13" t="s">
        <v>1178</v>
      </c>
      <c r="B22" s="14" t="s">
        <v>338</v>
      </c>
      <c r="C22" s="3">
        <v>2000</v>
      </c>
      <c r="D22" s="2"/>
      <c r="E22" s="151"/>
      <c r="F22" s="151"/>
    </row>
    <row r="23" spans="1:6" x14ac:dyDescent="0.2">
      <c r="A23" s="13" t="s">
        <v>1179</v>
      </c>
      <c r="B23" s="14" t="s">
        <v>761</v>
      </c>
      <c r="C23" s="3"/>
      <c r="D23" s="2"/>
      <c r="E23" s="151"/>
      <c r="F23" s="151"/>
    </row>
    <row r="24" spans="1:6" x14ac:dyDescent="0.2">
      <c r="A24" s="13"/>
      <c r="B24" s="14"/>
      <c r="C24" s="3"/>
      <c r="D24" s="2"/>
      <c r="E24" s="151"/>
      <c r="F24" s="151"/>
    </row>
    <row r="25" spans="1:6" ht="15" x14ac:dyDescent="0.25">
      <c r="A25" s="11"/>
      <c r="B25" s="17" t="s">
        <v>169</v>
      </c>
      <c r="C25" s="4">
        <f>SUM(C4:C23)</f>
        <v>58535.05128</v>
      </c>
      <c r="D25" s="2"/>
      <c r="E25" s="151"/>
      <c r="F25" s="151">
        <f>SUM(F4:F23)</f>
        <v>0</v>
      </c>
    </row>
    <row r="26" spans="1:6" x14ac:dyDescent="0.2">
      <c r="A26" s="13"/>
      <c r="B26" s="16"/>
      <c r="C26" s="3"/>
      <c r="D26" s="2"/>
      <c r="E26" s="151"/>
      <c r="F26" s="151"/>
    </row>
    <row r="27" spans="1:6" x14ac:dyDescent="0.2">
      <c r="A27" s="13"/>
      <c r="B27" s="14"/>
      <c r="C27" s="3"/>
      <c r="D27" s="2"/>
      <c r="E27" s="151"/>
      <c r="F27" s="151"/>
    </row>
    <row r="28" spans="1:6" x14ac:dyDescent="0.2">
      <c r="A28" s="13"/>
      <c r="B28" s="14"/>
      <c r="C28" s="3"/>
      <c r="D28" s="2"/>
      <c r="E28" s="151"/>
      <c r="F28" s="151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47"/>
  <sheetViews>
    <sheetView zoomScaleNormal="100" workbookViewId="0">
      <selection activeCell="M1" sqref="M1:M1048576"/>
    </sheetView>
  </sheetViews>
  <sheetFormatPr defaultColWidth="9" defaultRowHeight="14.25" x14ac:dyDescent="0.2"/>
  <cols>
    <col min="1" max="1" width="11.75" style="173" customWidth="1"/>
    <col min="2" max="2" width="29" style="206" customWidth="1"/>
    <col min="3" max="3" width="13.5" style="46" hidden="1" customWidth="1"/>
    <col min="4" max="4" width="13.375" style="46" hidden="1" customWidth="1"/>
    <col min="5" max="5" width="13.875" hidden="1" customWidth="1"/>
    <col min="6" max="6" width="13.75" hidden="1" customWidth="1"/>
    <col min="7" max="10" width="12.5" hidden="1" customWidth="1"/>
    <col min="11" max="11" width="11.5" hidden="1" customWidth="1"/>
    <col min="12" max="12" width="14.625" hidden="1" customWidth="1"/>
    <col min="13" max="13" width="14.875" hidden="1" customWidth="1"/>
    <col min="14" max="14" width="13.75" customWidth="1"/>
    <col min="15" max="15" width="12.125" bestFit="1" customWidth="1"/>
  </cols>
  <sheetData>
    <row r="1" spans="1:14" x14ac:dyDescent="0.2">
      <c r="B1" s="181"/>
      <c r="K1" s="2"/>
      <c r="L1" s="2"/>
    </row>
    <row r="2" spans="1:14" ht="60" x14ac:dyDescent="0.25">
      <c r="A2" s="56"/>
      <c r="B2" s="56" t="s">
        <v>29</v>
      </c>
      <c r="C2" s="20" t="s">
        <v>554</v>
      </c>
      <c r="D2" s="199" t="s">
        <v>700</v>
      </c>
      <c r="E2" s="143" t="s">
        <v>1351</v>
      </c>
      <c r="F2" s="143" t="s">
        <v>1354</v>
      </c>
      <c r="G2" s="143" t="s">
        <v>1512</v>
      </c>
      <c r="H2" s="143" t="s">
        <v>1494</v>
      </c>
      <c r="I2" s="143" t="s">
        <v>1505</v>
      </c>
      <c r="J2" s="162" t="s">
        <v>1599</v>
      </c>
      <c r="K2" s="162" t="s">
        <v>1600</v>
      </c>
      <c r="L2" s="162" t="s">
        <v>1601</v>
      </c>
      <c r="M2" s="162" t="s">
        <v>1634</v>
      </c>
      <c r="N2" s="162" t="s">
        <v>1686</v>
      </c>
    </row>
    <row r="3" spans="1:14" x14ac:dyDescent="0.2">
      <c r="A3" s="175"/>
      <c r="B3" s="58"/>
      <c r="C3" s="3"/>
      <c r="D3" s="3"/>
      <c r="E3" s="151"/>
      <c r="F3" s="151"/>
      <c r="G3" s="2"/>
      <c r="H3" s="151"/>
      <c r="I3" s="151"/>
      <c r="J3" s="156"/>
      <c r="K3" s="2"/>
      <c r="L3" s="3"/>
      <c r="M3" s="2"/>
      <c r="N3" s="2"/>
    </row>
    <row r="4" spans="1:14" x14ac:dyDescent="0.2">
      <c r="A4" s="175" t="s">
        <v>1180</v>
      </c>
      <c r="B4" s="58" t="s">
        <v>1181</v>
      </c>
      <c r="C4" s="24">
        <v>21632.34</v>
      </c>
      <c r="D4" s="3">
        <f>SUM(C4*1.03)</f>
        <v>22281.3102</v>
      </c>
      <c r="E4" s="151">
        <v>11513.12</v>
      </c>
      <c r="F4" s="3">
        <v>22949.75</v>
      </c>
      <c r="G4" s="3">
        <v>26111</v>
      </c>
      <c r="H4" s="151">
        <v>12653.64</v>
      </c>
      <c r="I4" s="151"/>
      <c r="J4" s="163">
        <v>29111</v>
      </c>
      <c r="K4" s="50">
        <f>SUM(J4-G4)</f>
        <v>3000</v>
      </c>
      <c r="L4" s="3">
        <v>15115.27</v>
      </c>
      <c r="M4" s="49">
        <f>SUM(J4)*1.03</f>
        <v>29984.33</v>
      </c>
      <c r="N4" s="138">
        <f>SUM(M4)*1.05</f>
        <v>31483.546500000004</v>
      </c>
    </row>
    <row r="5" spans="1:14" x14ac:dyDescent="0.2">
      <c r="A5" s="175" t="s">
        <v>1182</v>
      </c>
      <c r="B5" s="58" t="s">
        <v>1183</v>
      </c>
      <c r="C5" s="25">
        <v>27759.71</v>
      </c>
      <c r="D5" s="3">
        <f>SUM(C5*1.03)</f>
        <v>28592.5013</v>
      </c>
      <c r="E5" s="151">
        <v>14726.4</v>
      </c>
      <c r="F5" s="3">
        <v>29450.28</v>
      </c>
      <c r="G5" s="3">
        <v>32940</v>
      </c>
      <c r="H5" s="151">
        <v>15966.72</v>
      </c>
      <c r="I5" s="151"/>
      <c r="J5" s="163">
        <v>34440</v>
      </c>
      <c r="K5" s="50">
        <f>SUM(J5-G5)</f>
        <v>1500</v>
      </c>
      <c r="L5" s="3">
        <v>17107.2</v>
      </c>
      <c r="M5" s="3">
        <f>SUM(J5)*1.03</f>
        <v>35473.200000000004</v>
      </c>
      <c r="N5" s="138">
        <f>SUM(M5)*1.03</f>
        <v>36537.396000000008</v>
      </c>
    </row>
    <row r="6" spans="1:14" x14ac:dyDescent="0.2">
      <c r="A6" s="175" t="s">
        <v>1375</v>
      </c>
      <c r="B6" s="58" t="s">
        <v>1183</v>
      </c>
      <c r="C6" s="25">
        <v>27759.71</v>
      </c>
      <c r="D6" s="3">
        <f>SUM(C6*1.03)</f>
        <v>28592.5013</v>
      </c>
      <c r="E6" s="151">
        <v>14726.4</v>
      </c>
      <c r="F6" s="3">
        <v>29450.276339</v>
      </c>
      <c r="G6" s="3">
        <v>32940</v>
      </c>
      <c r="H6" s="151">
        <v>15935.04</v>
      </c>
      <c r="I6" s="151"/>
      <c r="J6" s="163">
        <v>34440</v>
      </c>
      <c r="K6" s="50">
        <f>SUM(J6-G6)</f>
        <v>1500</v>
      </c>
      <c r="L6" s="3">
        <v>17107.2</v>
      </c>
      <c r="M6" s="3">
        <f>SUM(J6)*1.03</f>
        <v>35473.200000000004</v>
      </c>
      <c r="N6" s="138">
        <f>SUM(M6)*1.03</f>
        <v>36537.396000000008</v>
      </c>
    </row>
    <row r="7" spans="1:14" x14ac:dyDescent="0.2">
      <c r="A7" s="175" t="s">
        <v>1184</v>
      </c>
      <c r="B7" s="58" t="s">
        <v>218</v>
      </c>
      <c r="C7" s="24">
        <v>8500</v>
      </c>
      <c r="D7" s="3">
        <v>9000</v>
      </c>
      <c r="E7" s="151">
        <v>102.61</v>
      </c>
      <c r="F7" s="3">
        <v>9000</v>
      </c>
      <c r="G7" s="3">
        <v>9000</v>
      </c>
      <c r="H7" s="151">
        <v>4545</v>
      </c>
      <c r="I7" s="151"/>
      <c r="J7" s="163">
        <v>4545</v>
      </c>
      <c r="K7" s="2"/>
      <c r="L7" s="3">
        <v>2788.95</v>
      </c>
      <c r="M7" s="3">
        <v>9000</v>
      </c>
      <c r="N7" s="138">
        <v>9000</v>
      </c>
    </row>
    <row r="8" spans="1:14" x14ac:dyDescent="0.2">
      <c r="A8" s="175" t="s">
        <v>1185</v>
      </c>
      <c r="B8" s="58" t="s">
        <v>220</v>
      </c>
      <c r="C8" s="24">
        <v>2030</v>
      </c>
      <c r="D8" s="3">
        <v>2240</v>
      </c>
      <c r="E8" s="151">
        <v>1162.5</v>
      </c>
      <c r="F8" s="3">
        <v>2480</v>
      </c>
      <c r="G8" s="3">
        <v>1897.5</v>
      </c>
      <c r="H8" s="151">
        <v>1015</v>
      </c>
      <c r="I8" s="151"/>
      <c r="J8" s="163">
        <v>2257.5</v>
      </c>
      <c r="K8" s="2"/>
      <c r="L8" s="3">
        <v>1212.5</v>
      </c>
      <c r="M8" s="3">
        <v>2377.5</v>
      </c>
      <c r="N8" s="138">
        <v>1047.5</v>
      </c>
    </row>
    <row r="9" spans="1:14" x14ac:dyDescent="0.2">
      <c r="A9" s="175" t="s">
        <v>1186</v>
      </c>
      <c r="B9" s="58" t="s">
        <v>226</v>
      </c>
      <c r="C9" s="3">
        <v>2800</v>
      </c>
      <c r="D9" s="3">
        <f>SUM(C9*1.03)</f>
        <v>2884</v>
      </c>
      <c r="E9" s="151">
        <v>1007.64</v>
      </c>
      <c r="F9" s="3">
        <v>2884</v>
      </c>
      <c r="G9" s="3">
        <v>2884</v>
      </c>
      <c r="H9" s="151">
        <v>954.71</v>
      </c>
      <c r="I9" s="151"/>
      <c r="J9" s="90">
        <v>2500</v>
      </c>
      <c r="K9" s="2"/>
      <c r="L9" s="3">
        <v>1129.92</v>
      </c>
      <c r="M9" s="3">
        <v>2500</v>
      </c>
      <c r="N9" s="138">
        <v>2500</v>
      </c>
    </row>
    <row r="10" spans="1:14" x14ac:dyDescent="0.2">
      <c r="A10" s="175" t="s">
        <v>1187</v>
      </c>
      <c r="B10" s="58" t="s">
        <v>228</v>
      </c>
      <c r="C10" s="24">
        <f>+SUM($C$4:$C$8)*0.129</f>
        <v>11310.947040000001</v>
      </c>
      <c r="D10" s="200">
        <f>SUM(D$4:D$8)*0.12</f>
        <v>10884.757535999999</v>
      </c>
      <c r="E10" s="151">
        <v>5116.2</v>
      </c>
      <c r="F10" s="200">
        <v>11185.23626208</v>
      </c>
      <c r="G10" s="3">
        <v>11420.62</v>
      </c>
      <c r="H10" s="151">
        <v>5498.23</v>
      </c>
      <c r="I10" s="151"/>
      <c r="J10" s="138">
        <f>SUM(J$4:J$8)*0.099</f>
        <v>10374.556500000001</v>
      </c>
      <c r="K10" s="138">
        <f>SUM(K4:K8)*0.099</f>
        <v>594</v>
      </c>
      <c r="L10" s="3">
        <v>5864.07</v>
      </c>
      <c r="M10" s="49">
        <f>SUM(M$4:M$8)*0.095</f>
        <v>10669.281850000001</v>
      </c>
      <c r="N10" s="138">
        <f>SUM(N$4:N$8)*0.085</f>
        <v>9741.4962725000023</v>
      </c>
    </row>
    <row r="11" spans="1:14" x14ac:dyDescent="0.2">
      <c r="A11" s="175" t="s">
        <v>1188</v>
      </c>
      <c r="B11" s="58" t="s">
        <v>230</v>
      </c>
      <c r="C11" s="24">
        <f>+SUM($C$4:$C$8)*0.0145</f>
        <v>1271.3855200000003</v>
      </c>
      <c r="D11" s="201">
        <f>SUM(D$4:D$8)*0.0145</f>
        <v>1315.2415356000001</v>
      </c>
      <c r="E11" s="151">
        <v>593.05999999999995</v>
      </c>
      <c r="F11" s="201">
        <v>1351.549381668</v>
      </c>
      <c r="G11" s="49">
        <v>1491.88</v>
      </c>
      <c r="H11" s="151">
        <v>687.98</v>
      </c>
      <c r="I11" s="151"/>
      <c r="J11" s="138">
        <f>SUM(J$4:J$8)*0.0145</f>
        <v>1519.50575</v>
      </c>
      <c r="K11" s="138">
        <f>SUM(K5:K9)*0.0145</f>
        <v>43.5</v>
      </c>
      <c r="L11" s="3">
        <v>753.42</v>
      </c>
      <c r="M11" s="49">
        <f>SUM(M$4:M$8)*0.0145</f>
        <v>1628.4693350000002</v>
      </c>
      <c r="N11" s="138">
        <f>SUM(N$4:N$8)*0.0145</f>
        <v>1661.7846582500003</v>
      </c>
    </row>
    <row r="12" spans="1:14" x14ac:dyDescent="0.2">
      <c r="A12" s="175" t="s">
        <v>1189</v>
      </c>
      <c r="B12" s="58" t="s">
        <v>232</v>
      </c>
      <c r="C12" s="24">
        <f>+SUM($C$4:$C$8)*0.062</f>
        <v>5436.2691200000008</v>
      </c>
      <c r="D12" s="200">
        <f>SUM(D$4:D$8)*0.062</f>
        <v>5623.7913935999995</v>
      </c>
      <c r="E12" s="151">
        <v>2536.02</v>
      </c>
      <c r="F12" s="200">
        <v>5779.0387354080003</v>
      </c>
      <c r="G12" s="3">
        <v>6379.09</v>
      </c>
      <c r="H12" s="151">
        <v>2941.79</v>
      </c>
      <c r="I12" s="151"/>
      <c r="J12" s="138">
        <f>SUM(J$4:J$8)*0.062</f>
        <v>6497.1970000000001</v>
      </c>
      <c r="K12" s="138">
        <f>SUM(K6:K10)*0.062</f>
        <v>129.828</v>
      </c>
      <c r="L12" s="3">
        <v>3221.51</v>
      </c>
      <c r="M12" s="49">
        <f>SUM(M$4:M$8)*0.062</f>
        <v>6963.1102600000004</v>
      </c>
      <c r="N12" s="138">
        <f>SUM(N$4:N$8)*0.062</f>
        <v>7105.561987000001</v>
      </c>
    </row>
    <row r="13" spans="1:14" ht="15" x14ac:dyDescent="0.25">
      <c r="A13" s="175" t="s">
        <v>1190</v>
      </c>
      <c r="B13" s="58" t="s">
        <v>234</v>
      </c>
      <c r="C13" s="50">
        <v>25462.563840000003</v>
      </c>
      <c r="D13" s="3">
        <f>+SUM(9149.55*3)</f>
        <v>27448.649999999998</v>
      </c>
      <c r="E13" s="151">
        <v>15109.77</v>
      </c>
      <c r="F13" s="202">
        <v>27895.439999999999</v>
      </c>
      <c r="G13" s="49">
        <v>31890</v>
      </c>
      <c r="H13" s="151">
        <v>17250.48</v>
      </c>
      <c r="I13" s="151"/>
      <c r="J13" s="374">
        <v>33917.040000000001</v>
      </c>
      <c r="K13" s="166"/>
      <c r="L13" s="3">
        <v>18371.73</v>
      </c>
      <c r="M13" s="3">
        <v>36324</v>
      </c>
      <c r="N13" s="138">
        <v>38286.720000000001</v>
      </c>
    </row>
    <row r="14" spans="1:14" ht="15" x14ac:dyDescent="0.25">
      <c r="A14" s="175" t="s">
        <v>1602</v>
      </c>
      <c r="B14" s="58" t="s">
        <v>1571</v>
      </c>
      <c r="C14" s="50"/>
      <c r="D14" s="3"/>
      <c r="E14" s="151"/>
      <c r="F14" s="202"/>
      <c r="G14" s="49"/>
      <c r="H14" s="151"/>
      <c r="I14" s="151"/>
      <c r="J14" s="166">
        <v>0</v>
      </c>
      <c r="K14" s="166"/>
      <c r="L14" s="3">
        <v>1555.2</v>
      </c>
      <c r="M14" s="3"/>
      <c r="N14" s="138"/>
    </row>
    <row r="15" spans="1:14" x14ac:dyDescent="0.2">
      <c r="A15" s="175" t="s">
        <v>1191</v>
      </c>
      <c r="B15" s="58" t="s">
        <v>238</v>
      </c>
      <c r="C15" s="24">
        <v>4800</v>
      </c>
      <c r="D15" s="24">
        <v>4800</v>
      </c>
      <c r="E15" s="151">
        <v>2408</v>
      </c>
      <c r="F15" s="24">
        <v>4800</v>
      </c>
      <c r="G15" s="24">
        <v>4800</v>
      </c>
      <c r="H15" s="151">
        <v>2400.06</v>
      </c>
      <c r="I15" s="151"/>
      <c r="J15" s="90">
        <v>4800</v>
      </c>
      <c r="K15" s="2"/>
      <c r="L15" s="3">
        <v>2584.6799999999998</v>
      </c>
      <c r="M15" s="3">
        <v>4800</v>
      </c>
      <c r="N15" s="138">
        <v>4800</v>
      </c>
    </row>
    <row r="16" spans="1:14" x14ac:dyDescent="0.2">
      <c r="A16" s="175" t="s">
        <v>1192</v>
      </c>
      <c r="B16" s="58" t="s">
        <v>1120</v>
      </c>
      <c r="C16" s="24">
        <v>25000</v>
      </c>
      <c r="D16" s="24">
        <v>25000</v>
      </c>
      <c r="E16" s="151">
        <v>6863.43</v>
      </c>
      <c r="F16" s="24">
        <v>25000</v>
      </c>
      <c r="G16" s="24">
        <v>25000</v>
      </c>
      <c r="H16" s="151">
        <v>8854.2199999999993</v>
      </c>
      <c r="I16" s="151"/>
      <c r="J16" s="251">
        <v>25000</v>
      </c>
      <c r="K16" s="2"/>
      <c r="L16" s="3">
        <v>14990.83</v>
      </c>
      <c r="M16" s="3">
        <v>30000</v>
      </c>
      <c r="N16" s="138">
        <v>28000</v>
      </c>
    </row>
    <row r="17" spans="1:15" x14ac:dyDescent="0.2">
      <c r="A17" s="175" t="s">
        <v>1193</v>
      </c>
      <c r="B17" s="58" t="s">
        <v>1077</v>
      </c>
      <c r="C17" s="24">
        <v>0</v>
      </c>
      <c r="D17" s="24"/>
      <c r="E17" s="151">
        <v>0</v>
      </c>
      <c r="F17" s="24">
        <v>1000</v>
      </c>
      <c r="G17" s="24">
        <v>1000</v>
      </c>
      <c r="H17" s="151">
        <v>0</v>
      </c>
      <c r="I17" s="151"/>
      <c r="J17" s="251">
        <v>1000</v>
      </c>
      <c r="K17" s="2"/>
      <c r="L17" s="3">
        <v>0</v>
      </c>
      <c r="M17" s="24">
        <v>1000</v>
      </c>
      <c r="N17" s="138">
        <v>1500</v>
      </c>
    </row>
    <row r="18" spans="1:15" x14ac:dyDescent="0.2">
      <c r="A18" s="175" t="s">
        <v>1194</v>
      </c>
      <c r="B18" s="58" t="s">
        <v>1079</v>
      </c>
      <c r="C18" s="24">
        <v>2000</v>
      </c>
      <c r="D18" s="24">
        <v>4010.3</v>
      </c>
      <c r="E18" s="151">
        <v>26</v>
      </c>
      <c r="F18" s="24">
        <v>6000</v>
      </c>
      <c r="G18" s="24">
        <v>6000</v>
      </c>
      <c r="H18" s="151">
        <v>1075.56</v>
      </c>
      <c r="I18" s="151"/>
      <c r="J18" s="251">
        <v>8000</v>
      </c>
      <c r="K18" s="2"/>
      <c r="L18" s="3">
        <v>927.99</v>
      </c>
      <c r="M18" s="24">
        <v>8000</v>
      </c>
      <c r="N18" s="138">
        <v>10000</v>
      </c>
    </row>
    <row r="19" spans="1:15" x14ac:dyDescent="0.2">
      <c r="A19" s="175" t="s">
        <v>1195</v>
      </c>
      <c r="B19" s="58" t="s">
        <v>248</v>
      </c>
      <c r="C19" s="24">
        <v>200</v>
      </c>
      <c r="D19" s="24">
        <v>200</v>
      </c>
      <c r="E19" s="151">
        <v>177.5</v>
      </c>
      <c r="F19" s="24">
        <v>200</v>
      </c>
      <c r="G19" s="24">
        <v>200</v>
      </c>
      <c r="H19" s="151">
        <v>0</v>
      </c>
      <c r="I19" s="151"/>
      <c r="J19" s="251">
        <v>200</v>
      </c>
      <c r="K19" s="2"/>
      <c r="L19" s="3">
        <v>0</v>
      </c>
      <c r="M19" s="24">
        <v>200</v>
      </c>
      <c r="N19" s="138">
        <v>177.5</v>
      </c>
    </row>
    <row r="20" spans="1:15" x14ac:dyDescent="0.2">
      <c r="A20" s="175" t="s">
        <v>1196</v>
      </c>
      <c r="B20" s="58" t="s">
        <v>250</v>
      </c>
      <c r="C20" s="24">
        <v>1700</v>
      </c>
      <c r="D20" s="24">
        <v>1700</v>
      </c>
      <c r="E20" s="151">
        <v>175</v>
      </c>
      <c r="F20" s="24">
        <v>1700</v>
      </c>
      <c r="G20" s="24">
        <v>2000</v>
      </c>
      <c r="H20" s="151">
        <v>200</v>
      </c>
      <c r="I20" s="151"/>
      <c r="J20" s="251">
        <v>2000</v>
      </c>
      <c r="K20" s="2"/>
      <c r="L20" s="3">
        <v>250</v>
      </c>
      <c r="M20" s="24">
        <v>2000</v>
      </c>
      <c r="N20" s="138">
        <v>3500</v>
      </c>
    </row>
    <row r="21" spans="1:15" x14ac:dyDescent="0.2">
      <c r="A21" s="175" t="s">
        <v>1197</v>
      </c>
      <c r="B21" s="58" t="s">
        <v>599</v>
      </c>
      <c r="C21" s="24">
        <v>1200</v>
      </c>
      <c r="D21" s="24">
        <v>1200</v>
      </c>
      <c r="E21" s="151">
        <v>600</v>
      </c>
      <c r="F21" s="24">
        <v>1200</v>
      </c>
      <c r="G21" s="24">
        <v>1200</v>
      </c>
      <c r="H21" s="151">
        <v>650</v>
      </c>
      <c r="I21" s="151"/>
      <c r="J21" s="251">
        <v>1200</v>
      </c>
      <c r="K21" s="2"/>
      <c r="L21" s="3">
        <v>650</v>
      </c>
      <c r="M21" s="24">
        <v>1200</v>
      </c>
      <c r="N21" s="168">
        <v>1200</v>
      </c>
    </row>
    <row r="22" spans="1:15" x14ac:dyDescent="0.2">
      <c r="A22" s="175" t="s">
        <v>1198</v>
      </c>
      <c r="B22" s="58" t="s">
        <v>759</v>
      </c>
      <c r="C22" s="24">
        <v>2000</v>
      </c>
      <c r="D22" s="24">
        <v>2000</v>
      </c>
      <c r="E22" s="151">
        <v>22.5</v>
      </c>
      <c r="F22" s="24">
        <v>2000</v>
      </c>
      <c r="G22" s="24">
        <v>2000</v>
      </c>
      <c r="H22" s="151">
        <v>0</v>
      </c>
      <c r="I22" s="151"/>
      <c r="J22" s="251">
        <v>2000</v>
      </c>
      <c r="K22" s="2"/>
      <c r="L22" s="3">
        <v>59</v>
      </c>
      <c r="M22" s="24">
        <v>2000</v>
      </c>
      <c r="N22" s="168">
        <v>3500</v>
      </c>
    </row>
    <row r="23" spans="1:15" x14ac:dyDescent="0.2">
      <c r="A23" s="175" t="s">
        <v>1199</v>
      </c>
      <c r="B23" s="58" t="s">
        <v>1200</v>
      </c>
      <c r="C23" s="24">
        <v>600</v>
      </c>
      <c r="D23" s="24">
        <v>600</v>
      </c>
      <c r="E23" s="151">
        <v>600</v>
      </c>
      <c r="F23" s="24">
        <v>600</v>
      </c>
      <c r="G23" s="24">
        <v>600</v>
      </c>
      <c r="H23" s="151">
        <v>600</v>
      </c>
      <c r="I23" s="151"/>
      <c r="J23" s="251">
        <v>600</v>
      </c>
      <c r="K23" s="2"/>
      <c r="L23" s="3">
        <v>0</v>
      </c>
      <c r="M23" s="24">
        <v>600</v>
      </c>
      <c r="N23" s="168">
        <v>600</v>
      </c>
    </row>
    <row r="24" spans="1:15" x14ac:dyDescent="0.2">
      <c r="A24" s="175" t="s">
        <v>1201</v>
      </c>
      <c r="B24" s="58" t="s">
        <v>1202</v>
      </c>
      <c r="C24" s="24">
        <v>2000</v>
      </c>
      <c r="D24" s="24">
        <v>2000</v>
      </c>
      <c r="E24" s="151">
        <v>0</v>
      </c>
      <c r="F24" s="24">
        <v>2000</v>
      </c>
      <c r="G24" s="24">
        <v>2000</v>
      </c>
      <c r="H24" s="151">
        <v>0</v>
      </c>
      <c r="I24" s="151"/>
      <c r="J24" s="251">
        <v>2000</v>
      </c>
      <c r="K24" s="2"/>
      <c r="L24" s="3">
        <v>0</v>
      </c>
      <c r="M24" s="24">
        <v>2000</v>
      </c>
      <c r="N24" s="168">
        <v>600</v>
      </c>
    </row>
    <row r="25" spans="1:15" x14ac:dyDescent="0.2">
      <c r="A25" s="175" t="s">
        <v>1203</v>
      </c>
      <c r="B25" s="58" t="s">
        <v>1204</v>
      </c>
      <c r="C25" s="24">
        <v>6000</v>
      </c>
      <c r="D25" s="24">
        <v>6000</v>
      </c>
      <c r="E25" s="151">
        <v>854.66</v>
      </c>
      <c r="F25" s="24">
        <v>10000</v>
      </c>
      <c r="G25" s="25">
        <v>12500</v>
      </c>
      <c r="H25" s="151">
        <v>1308.3499999999999</v>
      </c>
      <c r="I25" s="151"/>
      <c r="J25" s="168">
        <v>12500</v>
      </c>
      <c r="K25" s="2"/>
      <c r="L25" s="3">
        <v>1371.79</v>
      </c>
      <c r="M25" s="25">
        <v>12500</v>
      </c>
      <c r="N25" s="168">
        <v>7000</v>
      </c>
    </row>
    <row r="26" spans="1:15" x14ac:dyDescent="0.2">
      <c r="A26" s="175" t="s">
        <v>1205</v>
      </c>
      <c r="B26" s="58" t="s">
        <v>1206</v>
      </c>
      <c r="C26" s="24">
        <v>10000</v>
      </c>
      <c r="D26" s="24">
        <v>10000</v>
      </c>
      <c r="E26" s="151">
        <v>900</v>
      </c>
      <c r="F26" s="24">
        <v>10000</v>
      </c>
      <c r="G26" s="25">
        <v>10000</v>
      </c>
      <c r="H26" s="151">
        <v>0</v>
      </c>
      <c r="I26" s="151"/>
      <c r="J26" s="168">
        <v>10000</v>
      </c>
      <c r="K26" s="2"/>
      <c r="L26" s="3">
        <v>0</v>
      </c>
      <c r="M26" s="25">
        <v>10000</v>
      </c>
      <c r="N26" s="168">
        <v>10000</v>
      </c>
    </row>
    <row r="27" spans="1:15" x14ac:dyDescent="0.2">
      <c r="A27" s="175" t="s">
        <v>1207</v>
      </c>
      <c r="B27" s="58" t="s">
        <v>1208</v>
      </c>
      <c r="C27" s="24">
        <v>9000</v>
      </c>
      <c r="D27" s="24">
        <v>9000</v>
      </c>
      <c r="E27" s="151">
        <v>0</v>
      </c>
      <c r="F27" s="24">
        <v>9000</v>
      </c>
      <c r="G27" s="24">
        <v>9000</v>
      </c>
      <c r="H27" s="151">
        <v>0</v>
      </c>
      <c r="I27" s="151"/>
      <c r="J27" s="251">
        <v>9000</v>
      </c>
      <c r="K27" s="2"/>
      <c r="L27" s="3">
        <v>0</v>
      </c>
      <c r="M27" s="24">
        <v>9000</v>
      </c>
      <c r="N27" s="168">
        <v>9000</v>
      </c>
    </row>
    <row r="28" spans="1:15" x14ac:dyDescent="0.2">
      <c r="A28" s="175" t="s">
        <v>1209</v>
      </c>
      <c r="B28" s="58" t="s">
        <v>258</v>
      </c>
      <c r="C28" s="24">
        <v>2000</v>
      </c>
      <c r="D28" s="24">
        <v>2758.01</v>
      </c>
      <c r="E28" s="151">
        <v>2098.41</v>
      </c>
      <c r="F28" s="24">
        <v>2758.01</v>
      </c>
      <c r="G28" s="25">
        <v>3500</v>
      </c>
      <c r="H28" s="151">
        <v>34.17</v>
      </c>
      <c r="I28" s="151"/>
      <c r="J28" s="168">
        <v>3500</v>
      </c>
      <c r="K28" s="2"/>
      <c r="L28" s="3">
        <v>145</v>
      </c>
      <c r="M28" s="25">
        <v>3500</v>
      </c>
      <c r="N28" s="168">
        <v>4500</v>
      </c>
    </row>
    <row r="29" spans="1:15" x14ac:dyDescent="0.2">
      <c r="A29" s="175" t="s">
        <v>1210</v>
      </c>
      <c r="B29" s="58" t="s">
        <v>900</v>
      </c>
      <c r="C29" s="24">
        <v>229162.44</v>
      </c>
      <c r="D29" s="25">
        <v>187043.75</v>
      </c>
      <c r="E29" s="151">
        <v>13649.68</v>
      </c>
      <c r="F29" s="25">
        <v>172973.26</v>
      </c>
      <c r="G29" s="25">
        <v>70958.820000000007</v>
      </c>
      <c r="H29" s="151">
        <v>186.51</v>
      </c>
      <c r="I29" s="151"/>
      <c r="J29" s="168">
        <v>70645.13</v>
      </c>
      <c r="K29" s="2"/>
      <c r="L29" s="3">
        <v>0</v>
      </c>
      <c r="M29" s="25">
        <v>54082.79</v>
      </c>
      <c r="N29" s="168">
        <v>50000</v>
      </c>
    </row>
    <row r="30" spans="1:15" x14ac:dyDescent="0.2">
      <c r="A30" s="175" t="s">
        <v>1211</v>
      </c>
      <c r="B30" s="58" t="s">
        <v>1389</v>
      </c>
      <c r="C30" s="24">
        <v>0</v>
      </c>
      <c r="D30" s="24">
        <v>20000</v>
      </c>
      <c r="E30" s="151">
        <v>20000</v>
      </c>
      <c r="F30" s="24">
        <v>20000</v>
      </c>
      <c r="G30" s="24">
        <v>31422</v>
      </c>
      <c r="H30" s="151">
        <v>20684.009999999998</v>
      </c>
      <c r="I30" s="151"/>
      <c r="J30" s="251">
        <v>56535</v>
      </c>
      <c r="K30" s="2"/>
      <c r="L30" s="3">
        <v>21397.61</v>
      </c>
      <c r="M30" s="24">
        <v>56535</v>
      </c>
      <c r="N30" s="168">
        <v>56534.5</v>
      </c>
      <c r="O30" s="235">
        <f>SUM(N4:N30)</f>
        <v>364813.40141775005</v>
      </c>
    </row>
    <row r="31" spans="1:15" x14ac:dyDescent="0.2">
      <c r="A31" s="175" t="s">
        <v>1603</v>
      </c>
      <c r="B31" s="58" t="s">
        <v>1378</v>
      </c>
      <c r="C31" s="24"/>
      <c r="D31" s="24"/>
      <c r="E31" s="151"/>
      <c r="F31" s="24"/>
      <c r="G31" s="203">
        <v>7800</v>
      </c>
      <c r="H31" s="151">
        <v>0</v>
      </c>
      <c r="I31" s="151"/>
      <c r="J31" s="252">
        <v>7800</v>
      </c>
      <c r="K31" s="2"/>
      <c r="L31" s="3">
        <v>6960.83</v>
      </c>
      <c r="M31" s="203">
        <v>7800</v>
      </c>
      <c r="N31" s="138">
        <v>7800</v>
      </c>
    </row>
    <row r="32" spans="1:15" x14ac:dyDescent="0.2">
      <c r="A32" s="175" t="s">
        <v>1376</v>
      </c>
      <c r="B32" s="58" t="s">
        <v>129</v>
      </c>
      <c r="C32" s="24"/>
      <c r="D32" s="24">
        <v>1524.69</v>
      </c>
      <c r="E32" s="151">
        <v>1524.31</v>
      </c>
      <c r="F32" s="24">
        <v>1524.69</v>
      </c>
      <c r="G32" s="24">
        <v>1524.69</v>
      </c>
      <c r="H32" s="151">
        <v>3005.49</v>
      </c>
      <c r="I32" s="151"/>
      <c r="J32" s="251">
        <v>1524.69</v>
      </c>
      <c r="K32" s="2"/>
      <c r="L32" s="3">
        <v>2291.89</v>
      </c>
      <c r="M32" s="24">
        <v>1524.69</v>
      </c>
      <c r="N32" s="138">
        <v>2500</v>
      </c>
    </row>
    <row r="33" spans="1:15" x14ac:dyDescent="0.2">
      <c r="A33" s="175" t="s">
        <v>1532</v>
      </c>
      <c r="B33" s="58" t="s">
        <v>1533</v>
      </c>
      <c r="C33" s="24"/>
      <c r="D33" s="24"/>
      <c r="E33" s="151"/>
      <c r="F33" s="24"/>
      <c r="G33" s="24">
        <v>18292</v>
      </c>
      <c r="H33" s="151">
        <v>0</v>
      </c>
      <c r="I33" s="151"/>
      <c r="J33" s="251">
        <v>18292</v>
      </c>
      <c r="K33" s="2"/>
      <c r="L33" s="3">
        <v>0</v>
      </c>
      <c r="M33" s="24">
        <v>18292</v>
      </c>
      <c r="N33" s="138">
        <v>18292</v>
      </c>
    </row>
    <row r="34" spans="1:15" x14ac:dyDescent="0.2">
      <c r="A34" s="175" t="s">
        <v>1212</v>
      </c>
      <c r="B34" s="58" t="s">
        <v>338</v>
      </c>
      <c r="C34" s="24">
        <v>0</v>
      </c>
      <c r="D34" s="24">
        <v>0</v>
      </c>
      <c r="E34" s="151">
        <v>0</v>
      </c>
      <c r="F34" s="24">
        <v>0</v>
      </c>
      <c r="G34" s="24">
        <v>0</v>
      </c>
      <c r="H34" s="151">
        <v>0</v>
      </c>
      <c r="I34" s="151"/>
      <c r="J34" s="251">
        <v>0</v>
      </c>
      <c r="K34" s="2"/>
      <c r="L34" s="3">
        <v>0</v>
      </c>
      <c r="M34" s="24">
        <v>0</v>
      </c>
      <c r="N34" s="168"/>
    </row>
    <row r="35" spans="1:15" x14ac:dyDescent="0.2">
      <c r="A35" s="175" t="s">
        <v>1213</v>
      </c>
      <c r="B35" s="58" t="s">
        <v>1214</v>
      </c>
      <c r="C35" s="24">
        <v>6667.09</v>
      </c>
      <c r="D35" s="3">
        <v>6451.38</v>
      </c>
      <c r="E35" s="151">
        <v>2790.61</v>
      </c>
      <c r="F35" s="3">
        <v>6451.38</v>
      </c>
      <c r="G35" s="3">
        <v>6451.38</v>
      </c>
      <c r="H35" s="151">
        <v>6451.38</v>
      </c>
      <c r="I35" s="151"/>
      <c r="J35" s="90">
        <v>6451.38</v>
      </c>
      <c r="K35" s="2"/>
      <c r="L35" s="3">
        <v>5429.7</v>
      </c>
      <c r="M35" s="3">
        <v>6451.38</v>
      </c>
      <c r="N35" s="168">
        <v>6451.38</v>
      </c>
    </row>
    <row r="36" spans="1:15" x14ac:dyDescent="0.2">
      <c r="A36" s="175" t="s">
        <v>1215</v>
      </c>
      <c r="B36" s="58" t="s">
        <v>1380</v>
      </c>
      <c r="C36" s="24">
        <v>0</v>
      </c>
      <c r="D36" s="24">
        <v>0</v>
      </c>
      <c r="E36" s="151">
        <v>0</v>
      </c>
      <c r="F36" s="24">
        <v>0</v>
      </c>
      <c r="G36" s="24">
        <v>30000</v>
      </c>
      <c r="H36" s="151">
        <v>0</v>
      </c>
      <c r="I36" s="151"/>
      <c r="J36" s="251">
        <v>30000</v>
      </c>
      <c r="K36" s="2"/>
      <c r="L36" s="3">
        <v>0</v>
      </c>
      <c r="M36" s="25">
        <v>30000</v>
      </c>
      <c r="N36" s="168">
        <v>30000</v>
      </c>
    </row>
    <row r="37" spans="1:15" x14ac:dyDescent="0.2">
      <c r="A37" s="175" t="s">
        <v>1216</v>
      </c>
      <c r="B37" s="58" t="s">
        <v>1217</v>
      </c>
      <c r="C37" s="24">
        <v>0</v>
      </c>
      <c r="D37" s="24">
        <v>0</v>
      </c>
      <c r="E37" s="151">
        <v>0</v>
      </c>
      <c r="F37" s="24">
        <v>0</v>
      </c>
      <c r="G37" s="24">
        <v>0</v>
      </c>
      <c r="H37" s="151">
        <v>0</v>
      </c>
      <c r="I37" s="151"/>
      <c r="J37" s="251">
        <v>0</v>
      </c>
      <c r="K37" s="2"/>
      <c r="L37" s="3">
        <v>0</v>
      </c>
      <c r="M37" s="24">
        <v>45000</v>
      </c>
      <c r="N37" s="168">
        <v>45000.5</v>
      </c>
    </row>
    <row r="38" spans="1:15" x14ac:dyDescent="0.2">
      <c r="A38" s="175" t="s">
        <v>1218</v>
      </c>
      <c r="B38" s="58" t="s">
        <v>651</v>
      </c>
      <c r="C38" s="22"/>
      <c r="D38" s="22">
        <v>8500</v>
      </c>
      <c r="E38" s="151">
        <v>656.25</v>
      </c>
      <c r="F38" s="22">
        <v>8500</v>
      </c>
      <c r="G38" s="22">
        <v>7000</v>
      </c>
      <c r="H38" s="151">
        <v>2072.6</v>
      </c>
      <c r="I38" s="151"/>
      <c r="J38" s="253">
        <v>7000</v>
      </c>
      <c r="K38" s="2"/>
      <c r="L38" s="3">
        <v>2160.15</v>
      </c>
      <c r="M38" s="22">
        <v>7000</v>
      </c>
      <c r="N38" s="168">
        <v>12000</v>
      </c>
      <c r="O38" s="235"/>
    </row>
    <row r="39" spans="1:15" x14ac:dyDescent="0.2">
      <c r="A39" s="175" t="s">
        <v>1392</v>
      </c>
      <c r="B39" s="58" t="s">
        <v>1380</v>
      </c>
      <c r="C39" s="22"/>
      <c r="D39" s="22"/>
      <c r="E39" s="151"/>
      <c r="F39" s="22"/>
      <c r="G39" s="22"/>
      <c r="H39" s="151"/>
      <c r="I39" s="151"/>
      <c r="J39" s="253"/>
      <c r="K39" s="2"/>
      <c r="L39" s="3"/>
      <c r="M39" s="24"/>
      <c r="N39" s="25"/>
    </row>
    <row r="40" spans="1:15" ht="15" x14ac:dyDescent="0.25">
      <c r="A40" s="56"/>
      <c r="B40" s="57" t="s">
        <v>169</v>
      </c>
      <c r="C40" s="27">
        <f>SUM(C4:C38)</f>
        <v>436292.45552000002</v>
      </c>
      <c r="D40" s="27">
        <f>SUM(D4:D38)</f>
        <v>431650.88326520001</v>
      </c>
      <c r="E40" s="7">
        <f>SUM(E4:E38)</f>
        <v>119940.06999999999</v>
      </c>
      <c r="F40" s="7">
        <f>SUM(F4:F38)</f>
        <v>428132.91071815602</v>
      </c>
      <c r="G40" s="7">
        <f t="shared" ref="G40:M40" si="0">SUM(G4:G39)</f>
        <v>410202.98000000004</v>
      </c>
      <c r="H40" s="161">
        <f t="shared" si="0"/>
        <v>124970.94</v>
      </c>
      <c r="I40" s="161">
        <f t="shared" si="0"/>
        <v>0</v>
      </c>
      <c r="J40" s="254">
        <f t="shared" si="0"/>
        <v>439649.99925000005</v>
      </c>
      <c r="K40" s="254">
        <f t="shared" si="0"/>
        <v>6767.3280000000004</v>
      </c>
      <c r="L40" s="142">
        <f t="shared" si="0"/>
        <v>143446.44</v>
      </c>
      <c r="M40" s="7">
        <f t="shared" si="0"/>
        <v>483878.95144500001</v>
      </c>
      <c r="N40" s="25">
        <f>SUM(N4:N38)</f>
        <v>486857.28141775005</v>
      </c>
      <c r="O40" s="235">
        <f>SUM(O30:O39)</f>
        <v>364813.40141775005</v>
      </c>
    </row>
    <row r="41" spans="1:15" x14ac:dyDescent="0.2">
      <c r="A41" s="175"/>
      <c r="B41" s="58"/>
      <c r="C41" s="22"/>
      <c r="D41" s="22"/>
      <c r="E41" s="151"/>
      <c r="F41" s="151"/>
      <c r="G41" s="3"/>
      <c r="H41" s="151"/>
      <c r="I41" s="151"/>
      <c r="J41" s="2"/>
      <c r="K41" s="2"/>
      <c r="L41" s="3"/>
      <c r="M41" s="2"/>
      <c r="N41" s="25"/>
    </row>
    <row r="42" spans="1:15" x14ac:dyDescent="0.2">
      <c r="A42" s="175"/>
      <c r="B42" s="58"/>
      <c r="C42" s="3"/>
      <c r="D42" s="3"/>
      <c r="E42" s="151"/>
      <c r="F42" s="151"/>
      <c r="G42" s="50"/>
      <c r="H42" s="151"/>
      <c r="I42" s="151"/>
      <c r="J42" s="2"/>
      <c r="K42" s="2"/>
      <c r="L42" s="3"/>
      <c r="M42" s="2"/>
      <c r="N42" s="466"/>
    </row>
    <row r="43" spans="1:15" ht="15" x14ac:dyDescent="0.2">
      <c r="A43" s="175"/>
      <c r="B43" s="204"/>
      <c r="C43" s="3"/>
      <c r="D43" s="3"/>
      <c r="E43" s="151"/>
      <c r="F43" s="151"/>
      <c r="G43" s="2"/>
      <c r="H43" s="151"/>
      <c r="I43" s="151"/>
      <c r="K43" s="2"/>
      <c r="L43" s="3"/>
      <c r="M43" s="2"/>
      <c r="N43" s="50"/>
    </row>
    <row r="44" spans="1:15" x14ac:dyDescent="0.2">
      <c r="A44" s="175"/>
      <c r="B44" s="170"/>
      <c r="C44" s="3"/>
      <c r="D44" s="24"/>
      <c r="E44" s="151"/>
      <c r="F44" s="151"/>
      <c r="G44" s="2"/>
      <c r="H44" s="151"/>
      <c r="I44" s="151"/>
      <c r="J44" s="62"/>
      <c r="K44" s="2"/>
      <c r="L44" s="3"/>
      <c r="M44" s="2"/>
      <c r="N44" s="2"/>
    </row>
    <row r="45" spans="1:15" x14ac:dyDescent="0.2">
      <c r="B45" s="205"/>
    </row>
    <row r="47" spans="1:15" ht="15" x14ac:dyDescent="0.2">
      <c r="B47" s="174"/>
    </row>
  </sheetData>
  <phoneticPr fontId="24" type="noConversion"/>
  <pageMargins left="0.25" right="0.25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50"/>
  <sheetViews>
    <sheetView zoomScaleNormal="100" zoomScaleSheetLayoutView="90" workbookViewId="0">
      <selection activeCell="K1" sqref="K1:K1048576"/>
    </sheetView>
  </sheetViews>
  <sheetFormatPr defaultColWidth="9" defaultRowHeight="14.25" x14ac:dyDescent="0.2"/>
  <cols>
    <col min="1" max="1" width="10.75" style="470" customWidth="1"/>
    <col min="2" max="2" width="25" style="54" customWidth="1"/>
    <col min="3" max="3" width="13.75" style="172" hidden="1" customWidth="1"/>
    <col min="4" max="4" width="14" style="172" hidden="1" customWidth="1"/>
    <col min="5" max="5" width="12" hidden="1" customWidth="1"/>
    <col min="6" max="6" width="13.75" hidden="1" customWidth="1"/>
    <col min="7" max="7" width="13" hidden="1" customWidth="1"/>
    <col min="8" max="8" width="14.375" hidden="1" customWidth="1"/>
    <col min="9" max="9" width="14" style="172" hidden="1" customWidth="1"/>
    <col min="10" max="10" width="14.5" hidden="1" customWidth="1"/>
    <col min="11" max="11" width="13.5" hidden="1" customWidth="1"/>
    <col min="12" max="12" width="12.125" customWidth="1"/>
  </cols>
  <sheetData>
    <row r="1" spans="1:13" x14ac:dyDescent="0.2">
      <c r="A1" s="173"/>
      <c r="B1" s="453"/>
      <c r="J1" s="2"/>
    </row>
    <row r="2" spans="1:13" ht="45" x14ac:dyDescent="0.25">
      <c r="A2" s="454"/>
      <c r="B2" s="454" t="s">
        <v>1219</v>
      </c>
      <c r="C2" s="455" t="s">
        <v>554</v>
      </c>
      <c r="D2" s="456" t="s">
        <v>1074</v>
      </c>
      <c r="E2" s="165" t="s">
        <v>1351</v>
      </c>
      <c r="F2" s="165" t="s">
        <v>1354</v>
      </c>
      <c r="G2" s="143" t="s">
        <v>1510</v>
      </c>
      <c r="H2" s="143" t="s">
        <v>1494</v>
      </c>
      <c r="I2" s="447" t="s">
        <v>1604</v>
      </c>
      <c r="J2" s="447" t="s">
        <v>1568</v>
      </c>
      <c r="K2" s="447" t="s">
        <v>1634</v>
      </c>
      <c r="L2" s="266" t="s">
        <v>1686</v>
      </c>
    </row>
    <row r="3" spans="1:13" ht="15" x14ac:dyDescent="0.2">
      <c r="A3" s="457"/>
      <c r="B3" s="204"/>
      <c r="C3" s="49"/>
      <c r="D3" s="49"/>
      <c r="E3" s="2"/>
      <c r="F3" s="2"/>
      <c r="G3" s="2"/>
      <c r="H3" s="180"/>
      <c r="I3" s="138"/>
      <c r="J3" s="2"/>
      <c r="K3" s="156"/>
      <c r="L3" s="2"/>
    </row>
    <row r="4" spans="1:13" x14ac:dyDescent="0.2">
      <c r="A4" s="458" t="s">
        <v>1220</v>
      </c>
      <c r="B4" s="459" t="s">
        <v>1221</v>
      </c>
      <c r="C4" s="460">
        <v>21632.34</v>
      </c>
      <c r="D4" s="461">
        <f>SUM(C4*1.03)</f>
        <v>22281.3102</v>
      </c>
      <c r="E4" s="462">
        <v>11513.12</v>
      </c>
      <c r="F4" s="463">
        <v>22949.749506</v>
      </c>
      <c r="G4" s="463">
        <v>26111</v>
      </c>
      <c r="H4" s="180">
        <v>12653.64</v>
      </c>
      <c r="I4" s="232">
        <v>29111</v>
      </c>
      <c r="J4" s="464">
        <v>15115.27</v>
      </c>
      <c r="K4" s="138">
        <f>SUM(I4)*1.03</f>
        <v>29984.33</v>
      </c>
      <c r="L4" s="138">
        <f>SUM(K4)*1.05</f>
        <v>31483.546500000004</v>
      </c>
    </row>
    <row r="5" spans="1:13" x14ac:dyDescent="0.2">
      <c r="A5" s="175" t="s">
        <v>1222</v>
      </c>
      <c r="B5" s="58" t="s">
        <v>1183</v>
      </c>
      <c r="C5" s="25">
        <v>27759.71</v>
      </c>
      <c r="D5" s="176">
        <f>SUM(C5*1.03)</f>
        <v>28592.5013</v>
      </c>
      <c r="E5" s="180">
        <v>14726.4</v>
      </c>
      <c r="F5" s="49">
        <v>29450.276339</v>
      </c>
      <c r="G5" s="49">
        <v>32940</v>
      </c>
      <c r="H5" s="180">
        <v>15966.72</v>
      </c>
      <c r="I5" s="232">
        <v>34440</v>
      </c>
      <c r="J5" s="464">
        <v>17107.2</v>
      </c>
      <c r="K5" s="138">
        <f>SUM(I5)*1.03</f>
        <v>35473.200000000004</v>
      </c>
      <c r="L5" s="138">
        <f>SUM(K5)*1.03</f>
        <v>36537.396000000008</v>
      </c>
      <c r="M5" t="s">
        <v>1642</v>
      </c>
    </row>
    <row r="6" spans="1:13" x14ac:dyDescent="0.2">
      <c r="A6" s="175" t="s">
        <v>1223</v>
      </c>
      <c r="B6" s="58" t="s">
        <v>1183</v>
      </c>
      <c r="C6" s="25">
        <v>27759.71</v>
      </c>
      <c r="D6" s="176">
        <f>SUM(C6*1.03)</f>
        <v>28592.5013</v>
      </c>
      <c r="E6" s="180">
        <v>14726.4</v>
      </c>
      <c r="F6" s="49">
        <v>29450.276339</v>
      </c>
      <c r="G6" s="49">
        <v>32940</v>
      </c>
      <c r="H6" s="180">
        <v>15966.72</v>
      </c>
      <c r="I6" s="232">
        <v>34440</v>
      </c>
      <c r="J6" s="464">
        <v>17107.04</v>
      </c>
      <c r="K6" s="138">
        <f>SUM(I6)*1.03</f>
        <v>35473.200000000004</v>
      </c>
      <c r="L6" s="138">
        <f>SUM(K6)*1.03</f>
        <v>36537.396000000008</v>
      </c>
    </row>
    <row r="7" spans="1:13" x14ac:dyDescent="0.2">
      <c r="A7" s="175" t="s">
        <v>1224</v>
      </c>
      <c r="B7" s="58" t="s">
        <v>218</v>
      </c>
      <c r="C7" s="25">
        <v>8400</v>
      </c>
      <c r="D7" s="176">
        <v>9000</v>
      </c>
      <c r="E7" s="180">
        <v>86.83</v>
      </c>
      <c r="F7" s="49">
        <v>9000</v>
      </c>
      <c r="G7" s="49">
        <v>9000</v>
      </c>
      <c r="H7" s="180">
        <v>0</v>
      </c>
      <c r="I7" s="138">
        <v>9000</v>
      </c>
      <c r="J7" s="464">
        <v>0</v>
      </c>
      <c r="K7" s="138">
        <v>9000</v>
      </c>
      <c r="L7" s="138">
        <v>9000</v>
      </c>
    </row>
    <row r="8" spans="1:13" x14ac:dyDescent="0.2">
      <c r="A8" s="175" t="s">
        <v>1225</v>
      </c>
      <c r="B8" s="58" t="s">
        <v>220</v>
      </c>
      <c r="C8" s="25">
        <v>2097.5</v>
      </c>
      <c r="D8" s="176">
        <v>2347</v>
      </c>
      <c r="E8" s="180">
        <v>1217.5</v>
      </c>
      <c r="F8" s="49">
        <v>2715</v>
      </c>
      <c r="G8" s="49">
        <v>705</v>
      </c>
      <c r="H8" s="180">
        <v>370</v>
      </c>
      <c r="I8" s="138">
        <v>762.5</v>
      </c>
      <c r="J8" s="464">
        <v>405</v>
      </c>
      <c r="K8" s="138">
        <v>1047.5</v>
      </c>
      <c r="L8" s="138">
        <v>1047.5</v>
      </c>
    </row>
    <row r="9" spans="1:13" x14ac:dyDescent="0.2">
      <c r="A9" s="175" t="s">
        <v>1226</v>
      </c>
      <c r="B9" s="58" t="s">
        <v>226</v>
      </c>
      <c r="C9" s="25">
        <v>2800</v>
      </c>
      <c r="D9" s="176">
        <v>2800</v>
      </c>
      <c r="E9" s="180">
        <v>1018.11</v>
      </c>
      <c r="F9" s="49">
        <v>2800</v>
      </c>
      <c r="G9" s="49">
        <v>2800</v>
      </c>
      <c r="H9" s="180">
        <v>849.98</v>
      </c>
      <c r="I9" s="138">
        <v>2500</v>
      </c>
      <c r="J9" s="464">
        <v>1044.76</v>
      </c>
      <c r="K9" s="138">
        <v>2500</v>
      </c>
      <c r="L9" s="138">
        <v>2500</v>
      </c>
    </row>
    <row r="10" spans="1:13" x14ac:dyDescent="0.2">
      <c r="A10" s="175" t="s">
        <v>1227</v>
      </c>
      <c r="B10" s="58" t="s">
        <v>228</v>
      </c>
      <c r="C10" s="50">
        <f>+SUM($C$4:$C$8)*0.129</f>
        <v>11306.754540000002</v>
      </c>
      <c r="D10" s="176">
        <f>SUM(D$4:D$8)*0.12</f>
        <v>10897.597535999999</v>
      </c>
      <c r="E10" s="180">
        <v>5119.07</v>
      </c>
      <c r="F10" s="49">
        <f>SUM(F$4:F$8)*0.12</f>
        <v>11227.83626208</v>
      </c>
      <c r="G10" s="49">
        <v>11288.26</v>
      </c>
      <c r="H10" s="180">
        <v>5431.09</v>
      </c>
      <c r="I10" s="138" cm="1">
        <f t="array" ref="I10">SUM(I$4:I$6+I$8)*0.099</f>
        <v>9927.5715</v>
      </c>
      <c r="J10" s="278">
        <v>5785.4</v>
      </c>
      <c r="K10" s="138">
        <f>SUM(K$4:K$8)*0.095</f>
        <v>10542.931850000001</v>
      </c>
      <c r="L10" s="138">
        <f>SUM(L$4:L$8)*0.095</f>
        <v>10887.554657500001</v>
      </c>
    </row>
    <row r="11" spans="1:13" x14ac:dyDescent="0.2">
      <c r="A11" s="175" t="s">
        <v>1228</v>
      </c>
      <c r="B11" s="58" t="s">
        <v>230</v>
      </c>
      <c r="C11" s="50">
        <f>+SUM($C$4:$C$8)*0.0145</f>
        <v>1270.9142700000002</v>
      </c>
      <c r="D11" s="176">
        <f>SUM(D$4:D$8)*0.0145</f>
        <v>1316.7930356000002</v>
      </c>
      <c r="E11" s="180">
        <v>657.73</v>
      </c>
      <c r="F11" s="49">
        <f>SUM(F$4:F$8)*0.0145</f>
        <v>1356.6968816680001</v>
      </c>
      <c r="G11" s="49">
        <v>1474.59</v>
      </c>
      <c r="H11" s="180">
        <v>710.06</v>
      </c>
      <c r="I11" s="138">
        <f>SUM(I$4:I$8)*0.0145</f>
        <v>1562.4257500000001</v>
      </c>
      <c r="J11" s="278">
        <v>810.95</v>
      </c>
      <c r="K11" s="138">
        <f>SUM(K$4:K$8)*0.0145</f>
        <v>1609.1843350000001</v>
      </c>
      <c r="L11" s="138">
        <f>SUM(L$4:L$8)*0.0145</f>
        <v>1661.7846582500003</v>
      </c>
    </row>
    <row r="12" spans="1:13" x14ac:dyDescent="0.2">
      <c r="A12" s="175" t="s">
        <v>1229</v>
      </c>
      <c r="B12" s="58" t="s">
        <v>232</v>
      </c>
      <c r="C12" s="50">
        <f>+SUM($C$4:$C$8)*0.062</f>
        <v>5434.2541200000005</v>
      </c>
      <c r="D12" s="176">
        <f>SUM(D$4:D$8)*0.062</f>
        <v>5630.4253935999996</v>
      </c>
      <c r="E12" s="180">
        <v>2812.58</v>
      </c>
      <c r="F12" s="49">
        <f>SUM(F$4:F$8)*0.062</f>
        <v>5801.0487354079996</v>
      </c>
      <c r="G12" s="49">
        <v>6305.15</v>
      </c>
      <c r="H12" s="180">
        <v>3035.77</v>
      </c>
      <c r="I12" s="138" cm="1">
        <f t="array" ref="I12">SUM(I$4:I$8*0.062)</f>
        <v>6680.7170000000006</v>
      </c>
      <c r="J12" s="278">
        <v>3467.55</v>
      </c>
      <c r="K12" s="138">
        <f>SUM(K$4:K$8)*0.062</f>
        <v>6880.6502600000003</v>
      </c>
      <c r="L12" s="138">
        <f>SUM(L$4:L$8)*0.062</f>
        <v>7105.561987000001</v>
      </c>
    </row>
    <row r="13" spans="1:13" x14ac:dyDescent="0.2">
      <c r="A13" s="175" t="s">
        <v>1230</v>
      </c>
      <c r="B13" s="58" t="s">
        <v>234</v>
      </c>
      <c r="C13" s="50">
        <v>25462.563840000003</v>
      </c>
      <c r="D13" s="176">
        <f>+SUM(9149.55*3)</f>
        <v>27448.649999999998</v>
      </c>
      <c r="E13" s="180">
        <v>15109.77</v>
      </c>
      <c r="F13" s="49">
        <v>27895.439999999999</v>
      </c>
      <c r="G13" s="49">
        <v>31890</v>
      </c>
      <c r="H13" s="180">
        <v>17250.48</v>
      </c>
      <c r="I13" s="374">
        <v>33917.040000000001</v>
      </c>
      <c r="J13" s="464">
        <v>18371.73</v>
      </c>
      <c r="K13" s="138">
        <v>36324</v>
      </c>
      <c r="L13" s="138">
        <v>38286.720000000001</v>
      </c>
    </row>
    <row r="14" spans="1:13" ht="15" x14ac:dyDescent="0.25">
      <c r="A14" s="175" t="s">
        <v>1605</v>
      </c>
      <c r="B14" s="58" t="s">
        <v>1571</v>
      </c>
      <c r="C14" s="50"/>
      <c r="D14" s="176"/>
      <c r="E14" s="180"/>
      <c r="F14" s="49"/>
      <c r="G14" s="49"/>
      <c r="H14" s="180"/>
      <c r="I14" s="166">
        <v>0</v>
      </c>
      <c r="J14" s="464">
        <v>1555.19</v>
      </c>
      <c r="K14" s="138"/>
      <c r="L14" s="138"/>
    </row>
    <row r="15" spans="1:13" x14ac:dyDescent="0.2">
      <c r="A15" s="175" t="s">
        <v>1231</v>
      </c>
      <c r="B15" s="58" t="s">
        <v>238</v>
      </c>
      <c r="C15" s="25">
        <v>4800</v>
      </c>
      <c r="D15" s="176">
        <v>2800</v>
      </c>
      <c r="E15" s="180">
        <v>2408</v>
      </c>
      <c r="F15" s="49">
        <v>4800</v>
      </c>
      <c r="G15" s="49">
        <v>4800</v>
      </c>
      <c r="H15" s="180">
        <v>2400.06</v>
      </c>
      <c r="I15" s="138">
        <v>4800</v>
      </c>
      <c r="J15" s="464">
        <v>2584.6799999999998</v>
      </c>
      <c r="K15" s="138">
        <v>4800</v>
      </c>
      <c r="L15" s="138">
        <v>4800</v>
      </c>
    </row>
    <row r="16" spans="1:13" x14ac:dyDescent="0.2">
      <c r="A16" s="175" t="s">
        <v>1232</v>
      </c>
      <c r="B16" s="58" t="s">
        <v>1120</v>
      </c>
      <c r="C16" s="25">
        <v>24000</v>
      </c>
      <c r="D16" s="176">
        <f>SUM(D$4:D$8)*0.12</f>
        <v>10897.597535999999</v>
      </c>
      <c r="E16" s="180">
        <v>4375.8</v>
      </c>
      <c r="F16" s="49">
        <f>SUM(F$4:F$8)*0.12</f>
        <v>11227.83626208</v>
      </c>
      <c r="G16" s="49">
        <v>20000</v>
      </c>
      <c r="H16" s="180">
        <v>3733.71</v>
      </c>
      <c r="I16" s="138">
        <v>24000</v>
      </c>
      <c r="J16" s="464">
        <v>8672.01</v>
      </c>
      <c r="K16" s="138">
        <v>28000</v>
      </c>
      <c r="L16" s="138">
        <v>28000</v>
      </c>
    </row>
    <row r="17" spans="1:12" x14ac:dyDescent="0.2">
      <c r="A17" s="175" t="s">
        <v>1233</v>
      </c>
      <c r="B17" s="58" t="s">
        <v>1077</v>
      </c>
      <c r="C17" s="25">
        <v>500</v>
      </c>
      <c r="D17" s="176">
        <f>SUM(D$4:D$8)*0.0145</f>
        <v>1316.7930356000002</v>
      </c>
      <c r="E17" s="180">
        <v>0</v>
      </c>
      <c r="F17" s="49">
        <f>SUM(F$4:F$8)*0.0145</f>
        <v>1356.6968816680001</v>
      </c>
      <c r="G17" s="49">
        <v>1429.37</v>
      </c>
      <c r="H17" s="180">
        <v>0</v>
      </c>
      <c r="I17" s="138">
        <v>1500</v>
      </c>
      <c r="J17" s="464">
        <v>0</v>
      </c>
      <c r="K17" s="138">
        <v>1500</v>
      </c>
      <c r="L17" s="138">
        <v>1500</v>
      </c>
    </row>
    <row r="18" spans="1:12" x14ac:dyDescent="0.2">
      <c r="A18" s="175" t="s">
        <v>1234</v>
      </c>
      <c r="B18" s="58" t="s">
        <v>1079</v>
      </c>
      <c r="C18" s="25">
        <v>3000</v>
      </c>
      <c r="D18" s="176">
        <f>SUM(D$4:D$8)*0.062</f>
        <v>5630.4253935999996</v>
      </c>
      <c r="E18" s="180">
        <v>0</v>
      </c>
      <c r="F18" s="49">
        <f>SUM(F$4:F$8)*0.062</f>
        <v>5801.0487354079996</v>
      </c>
      <c r="G18" s="49">
        <v>6111.77</v>
      </c>
      <c r="H18" s="180">
        <v>1444.44</v>
      </c>
      <c r="I18" s="138">
        <v>8000</v>
      </c>
      <c r="J18" s="464">
        <v>2931.18</v>
      </c>
      <c r="K18" s="138">
        <v>10000</v>
      </c>
      <c r="L18" s="138">
        <v>10000</v>
      </c>
    </row>
    <row r="19" spans="1:12" x14ac:dyDescent="0.2">
      <c r="A19" s="175" t="s">
        <v>1235</v>
      </c>
      <c r="B19" s="58" t="s">
        <v>248</v>
      </c>
      <c r="C19" s="25">
        <v>300</v>
      </c>
      <c r="D19" s="152">
        <v>275</v>
      </c>
      <c r="E19" s="180">
        <v>0</v>
      </c>
      <c r="F19" s="49">
        <v>275</v>
      </c>
      <c r="G19" s="49">
        <v>275</v>
      </c>
      <c r="H19" s="180">
        <v>0</v>
      </c>
      <c r="I19" s="138">
        <v>50</v>
      </c>
      <c r="J19" s="464">
        <v>177.5</v>
      </c>
      <c r="K19" s="138">
        <v>177.5</v>
      </c>
      <c r="L19" s="138">
        <v>177.5</v>
      </c>
    </row>
    <row r="20" spans="1:12" x14ac:dyDescent="0.2">
      <c r="A20" s="175" t="s">
        <v>1236</v>
      </c>
      <c r="B20" s="58" t="s">
        <v>250</v>
      </c>
      <c r="C20" s="25">
        <v>750</v>
      </c>
      <c r="D20" s="465">
        <v>750</v>
      </c>
      <c r="E20" s="180">
        <v>175</v>
      </c>
      <c r="F20" s="25">
        <v>750</v>
      </c>
      <c r="G20" s="25">
        <v>3500</v>
      </c>
      <c r="H20" s="180">
        <v>373.23</v>
      </c>
      <c r="I20" s="168">
        <v>3500</v>
      </c>
      <c r="J20" s="464">
        <v>262.76</v>
      </c>
      <c r="K20" s="138">
        <v>3500</v>
      </c>
      <c r="L20" s="138">
        <v>3500</v>
      </c>
    </row>
    <row r="21" spans="1:12" x14ac:dyDescent="0.2">
      <c r="A21" s="175" t="s">
        <v>1237</v>
      </c>
      <c r="B21" s="58" t="s">
        <v>599</v>
      </c>
      <c r="C21" s="25">
        <v>1200</v>
      </c>
      <c r="D21" s="465">
        <v>1200</v>
      </c>
      <c r="E21" s="180">
        <v>600</v>
      </c>
      <c r="F21" s="25">
        <v>1200</v>
      </c>
      <c r="G21" s="25">
        <v>1200</v>
      </c>
      <c r="H21" s="180">
        <v>650</v>
      </c>
      <c r="I21" s="168">
        <v>1200</v>
      </c>
      <c r="J21" s="464">
        <v>650</v>
      </c>
      <c r="K21" s="168">
        <v>1200</v>
      </c>
      <c r="L21" s="168">
        <v>1200</v>
      </c>
    </row>
    <row r="22" spans="1:12" x14ac:dyDescent="0.2">
      <c r="A22" s="175" t="s">
        <v>1238</v>
      </c>
      <c r="B22" s="58" t="s">
        <v>1239</v>
      </c>
      <c r="C22" s="25">
        <v>2500</v>
      </c>
      <c r="D22" s="465">
        <v>2500</v>
      </c>
      <c r="E22" s="180">
        <v>0</v>
      </c>
      <c r="F22" s="25">
        <v>2500</v>
      </c>
      <c r="G22" s="25">
        <v>3500</v>
      </c>
      <c r="H22" s="180">
        <v>0</v>
      </c>
      <c r="I22" s="168">
        <v>3500</v>
      </c>
      <c r="J22" s="464">
        <v>0</v>
      </c>
      <c r="K22" s="168">
        <v>3500</v>
      </c>
      <c r="L22" s="168">
        <v>3500</v>
      </c>
    </row>
    <row r="23" spans="1:12" x14ac:dyDescent="0.2">
      <c r="A23" s="175" t="s">
        <v>1240</v>
      </c>
      <c r="B23" s="58" t="s">
        <v>759</v>
      </c>
      <c r="C23" s="25">
        <v>2500</v>
      </c>
      <c r="D23" s="465">
        <v>2500</v>
      </c>
      <c r="E23" s="180">
        <v>281.52999999999997</v>
      </c>
      <c r="F23" s="25">
        <v>2500</v>
      </c>
      <c r="G23" s="25">
        <v>2500</v>
      </c>
      <c r="H23" s="180">
        <v>0</v>
      </c>
      <c r="I23" s="168">
        <v>2500</v>
      </c>
      <c r="J23" s="464">
        <v>50.07</v>
      </c>
      <c r="K23" s="168">
        <v>2500</v>
      </c>
      <c r="L23" s="168">
        <v>2500</v>
      </c>
    </row>
    <row r="24" spans="1:12" x14ac:dyDescent="0.2">
      <c r="A24" s="175" t="s">
        <v>1241</v>
      </c>
      <c r="B24" s="58" t="s">
        <v>1200</v>
      </c>
      <c r="C24" s="25">
        <v>600</v>
      </c>
      <c r="D24" s="465">
        <v>600</v>
      </c>
      <c r="E24" s="180">
        <v>600</v>
      </c>
      <c r="F24" s="25">
        <v>600</v>
      </c>
      <c r="G24" s="25">
        <v>600</v>
      </c>
      <c r="H24" s="180">
        <v>600</v>
      </c>
      <c r="I24" s="168">
        <v>600</v>
      </c>
      <c r="J24" s="464">
        <v>0</v>
      </c>
      <c r="K24" s="168">
        <v>600</v>
      </c>
      <c r="L24" s="168">
        <v>600</v>
      </c>
    </row>
    <row r="25" spans="1:12" x14ac:dyDescent="0.2">
      <c r="A25" s="175" t="s">
        <v>1242</v>
      </c>
      <c r="B25" s="58" t="s">
        <v>1202</v>
      </c>
      <c r="C25" s="25">
        <v>2500</v>
      </c>
      <c r="D25" s="465">
        <v>2500</v>
      </c>
      <c r="E25" s="180">
        <v>0</v>
      </c>
      <c r="F25" s="25">
        <v>2500</v>
      </c>
      <c r="G25" s="25">
        <v>4000</v>
      </c>
      <c r="H25" s="180">
        <v>3037.5</v>
      </c>
      <c r="I25" s="168">
        <v>4000</v>
      </c>
      <c r="J25" s="464">
        <v>2213.25</v>
      </c>
      <c r="K25" s="168">
        <v>7000</v>
      </c>
      <c r="L25" s="168">
        <v>7000</v>
      </c>
    </row>
    <row r="26" spans="1:12" x14ac:dyDescent="0.2">
      <c r="A26" s="175" t="s">
        <v>1243</v>
      </c>
      <c r="B26" s="58" t="s">
        <v>1244</v>
      </c>
      <c r="C26" s="25">
        <v>7500</v>
      </c>
      <c r="D26" s="465">
        <v>11060.17</v>
      </c>
      <c r="E26" s="180">
        <v>494.16</v>
      </c>
      <c r="F26" s="25">
        <v>11060.17</v>
      </c>
      <c r="G26" s="25">
        <v>10000</v>
      </c>
      <c r="H26" s="180">
        <v>0</v>
      </c>
      <c r="I26" s="168">
        <v>10000</v>
      </c>
      <c r="J26" s="464">
        <v>333.01</v>
      </c>
      <c r="K26" s="168">
        <v>10000</v>
      </c>
      <c r="L26" s="168">
        <v>10000</v>
      </c>
    </row>
    <row r="27" spans="1:12" x14ac:dyDescent="0.2">
      <c r="A27" s="175" t="s">
        <v>1245</v>
      </c>
      <c r="B27" s="58" t="s">
        <v>1206</v>
      </c>
      <c r="C27" s="25">
        <v>2000</v>
      </c>
      <c r="D27" s="465">
        <v>26492</v>
      </c>
      <c r="E27" s="180">
        <v>0</v>
      </c>
      <c r="F27" s="25">
        <v>26492</v>
      </c>
      <c r="G27" s="25">
        <v>29000</v>
      </c>
      <c r="H27" s="180">
        <v>0</v>
      </c>
      <c r="I27" s="168">
        <v>7500</v>
      </c>
      <c r="J27" s="464">
        <v>1810.2</v>
      </c>
      <c r="K27" s="168">
        <v>7500</v>
      </c>
      <c r="L27" s="168">
        <v>7500</v>
      </c>
    </row>
    <row r="28" spans="1:12" x14ac:dyDescent="0.2">
      <c r="A28" s="175" t="s">
        <v>1246</v>
      </c>
      <c r="B28" s="58" t="s">
        <v>1614</v>
      </c>
      <c r="C28" s="25">
        <v>12000</v>
      </c>
      <c r="D28" s="465">
        <v>12000</v>
      </c>
      <c r="E28" s="180">
        <v>0</v>
      </c>
      <c r="F28" s="25">
        <v>12000</v>
      </c>
      <c r="G28" s="25">
        <v>4500</v>
      </c>
      <c r="H28" s="180">
        <v>0</v>
      </c>
      <c r="I28" s="168">
        <v>4500</v>
      </c>
      <c r="J28" s="464">
        <v>0</v>
      </c>
      <c r="K28" s="168">
        <v>4500</v>
      </c>
      <c r="L28" s="168">
        <v>4500</v>
      </c>
    </row>
    <row r="29" spans="1:12" x14ac:dyDescent="0.2">
      <c r="A29" s="175" t="s">
        <v>1247</v>
      </c>
      <c r="B29" s="58" t="s">
        <v>1248</v>
      </c>
      <c r="C29" s="25">
        <v>250</v>
      </c>
      <c r="D29" s="465">
        <v>250</v>
      </c>
      <c r="E29" s="180">
        <v>0</v>
      </c>
      <c r="F29" s="25">
        <v>250</v>
      </c>
      <c r="G29" s="25">
        <v>500</v>
      </c>
      <c r="H29" s="180">
        <v>0</v>
      </c>
      <c r="I29" s="168">
        <v>1000</v>
      </c>
      <c r="J29" s="464">
        <v>0</v>
      </c>
      <c r="K29" s="168">
        <v>1000</v>
      </c>
      <c r="L29" s="168">
        <v>1000</v>
      </c>
    </row>
    <row r="30" spans="1:12" x14ac:dyDescent="0.2">
      <c r="A30" s="175" t="s">
        <v>1249</v>
      </c>
      <c r="B30" s="58" t="s">
        <v>258</v>
      </c>
      <c r="C30" s="25">
        <v>2500</v>
      </c>
      <c r="D30" s="465">
        <v>2500</v>
      </c>
      <c r="E30" s="180">
        <v>0</v>
      </c>
      <c r="F30" s="25">
        <v>2500</v>
      </c>
      <c r="G30" s="25">
        <v>2500</v>
      </c>
      <c r="H30" s="180">
        <v>0</v>
      </c>
      <c r="I30" s="168">
        <v>2500</v>
      </c>
      <c r="J30" s="464">
        <v>0</v>
      </c>
      <c r="K30" s="168">
        <v>2500</v>
      </c>
      <c r="L30" s="168">
        <v>2500</v>
      </c>
    </row>
    <row r="31" spans="1:12" x14ac:dyDescent="0.2">
      <c r="A31" s="175" t="s">
        <v>1250</v>
      </c>
      <c r="B31" s="58" t="s">
        <v>1251</v>
      </c>
      <c r="C31" s="25">
        <v>130431.24</v>
      </c>
      <c r="D31" s="138">
        <v>125367.6</v>
      </c>
      <c r="E31" s="180">
        <v>0</v>
      </c>
      <c r="F31" s="49">
        <v>114604.19</v>
      </c>
      <c r="G31" s="49">
        <v>85610.46</v>
      </c>
      <c r="H31" s="180">
        <v>0</v>
      </c>
      <c r="I31" s="138">
        <v>97743.91</v>
      </c>
      <c r="J31" s="464">
        <v>0</v>
      </c>
      <c r="K31" s="138">
        <v>107334.41</v>
      </c>
      <c r="L31" s="138">
        <v>107334.41</v>
      </c>
    </row>
    <row r="32" spans="1:12" x14ac:dyDescent="0.2">
      <c r="A32" s="175" t="s">
        <v>1252</v>
      </c>
      <c r="B32" s="58" t="s">
        <v>1389</v>
      </c>
      <c r="C32" s="25">
        <v>39535.230000000003</v>
      </c>
      <c r="D32" s="138"/>
      <c r="E32" s="180">
        <v>0</v>
      </c>
      <c r="F32" s="49"/>
      <c r="G32" s="49">
        <v>57771</v>
      </c>
      <c r="H32" s="180">
        <v>0</v>
      </c>
      <c r="I32" s="138">
        <v>57780</v>
      </c>
      <c r="J32" s="464">
        <v>0</v>
      </c>
      <c r="K32" s="138">
        <v>57780</v>
      </c>
      <c r="L32" s="138">
        <v>57780</v>
      </c>
    </row>
    <row r="33" spans="1:12" x14ac:dyDescent="0.2">
      <c r="A33" s="175"/>
      <c r="B33" s="58" t="s">
        <v>1389</v>
      </c>
      <c r="C33" s="25"/>
      <c r="D33" s="176"/>
      <c r="E33" s="180"/>
      <c r="F33" s="49"/>
      <c r="G33" s="49"/>
      <c r="H33" s="180">
        <v>0</v>
      </c>
      <c r="I33" s="138"/>
      <c r="J33" s="464">
        <v>0</v>
      </c>
      <c r="K33" s="138"/>
      <c r="L33" s="49"/>
    </row>
    <row r="34" spans="1:12" x14ac:dyDescent="0.2">
      <c r="A34" s="175" t="s">
        <v>1253</v>
      </c>
      <c r="B34" s="58" t="s">
        <v>1254</v>
      </c>
      <c r="C34" s="25">
        <v>0</v>
      </c>
      <c r="D34" s="465">
        <v>0</v>
      </c>
      <c r="E34" s="180">
        <v>0</v>
      </c>
      <c r="F34" s="25">
        <v>0</v>
      </c>
      <c r="G34" s="25">
        <v>0</v>
      </c>
      <c r="H34" s="180">
        <v>0</v>
      </c>
      <c r="I34" s="168">
        <v>0</v>
      </c>
      <c r="J34" s="464">
        <v>0</v>
      </c>
      <c r="K34" s="168">
        <v>0</v>
      </c>
      <c r="L34" s="25">
        <v>0</v>
      </c>
    </row>
    <row r="35" spans="1:12" x14ac:dyDescent="0.2">
      <c r="A35" s="175" t="s">
        <v>1255</v>
      </c>
      <c r="B35" s="58" t="s">
        <v>338</v>
      </c>
      <c r="C35" s="25">
        <v>7500</v>
      </c>
      <c r="D35" s="465">
        <v>7500</v>
      </c>
      <c r="E35" s="180">
        <v>0</v>
      </c>
      <c r="F35" s="25">
        <v>7500</v>
      </c>
      <c r="G35" s="25">
        <v>6000</v>
      </c>
      <c r="H35" s="180">
        <v>0</v>
      </c>
      <c r="I35" s="168">
        <v>6000</v>
      </c>
      <c r="J35" s="464">
        <v>0</v>
      </c>
      <c r="K35" s="168">
        <v>6000</v>
      </c>
      <c r="L35" s="25">
        <v>6000</v>
      </c>
    </row>
    <row r="36" spans="1:12" x14ac:dyDescent="0.2">
      <c r="A36" s="175" t="s">
        <v>1256</v>
      </c>
      <c r="B36" s="58" t="s">
        <v>1214</v>
      </c>
      <c r="C36" s="25">
        <v>6667.09</v>
      </c>
      <c r="D36" s="465">
        <v>6451.38</v>
      </c>
      <c r="E36" s="180">
        <v>5409.04</v>
      </c>
      <c r="F36" s="25">
        <v>6451.38</v>
      </c>
      <c r="G36" s="25">
        <v>6451.38</v>
      </c>
      <c r="H36" s="180">
        <v>3324.78</v>
      </c>
      <c r="I36" s="168">
        <v>6451.38</v>
      </c>
      <c r="J36" s="464">
        <v>6225.22</v>
      </c>
      <c r="K36" s="168">
        <v>6451.38</v>
      </c>
      <c r="L36" s="25">
        <v>6451.38</v>
      </c>
    </row>
    <row r="37" spans="1:12" x14ac:dyDescent="0.2">
      <c r="A37" s="175" t="s">
        <v>1257</v>
      </c>
      <c r="B37" s="58" t="s">
        <v>1534</v>
      </c>
      <c r="C37" s="25"/>
      <c r="D37" s="465"/>
      <c r="E37" s="180">
        <v>0</v>
      </c>
      <c r="F37" s="25"/>
      <c r="G37" s="25">
        <v>500</v>
      </c>
      <c r="H37" s="180">
        <v>0</v>
      </c>
      <c r="I37" s="168">
        <v>500</v>
      </c>
      <c r="J37" s="464">
        <v>0</v>
      </c>
      <c r="K37" s="168">
        <v>500</v>
      </c>
      <c r="L37" s="25">
        <v>500</v>
      </c>
    </row>
    <row r="38" spans="1:12" x14ac:dyDescent="0.2">
      <c r="A38" s="175" t="s">
        <v>1259</v>
      </c>
      <c r="B38" s="58" t="s">
        <v>1535</v>
      </c>
      <c r="C38" s="25"/>
      <c r="D38" s="465"/>
      <c r="E38" s="180">
        <v>0</v>
      </c>
      <c r="F38" s="25"/>
      <c r="G38" s="25">
        <v>12000</v>
      </c>
      <c r="H38" s="180">
        <v>18296.57</v>
      </c>
      <c r="I38" s="168">
        <v>12000</v>
      </c>
      <c r="J38" s="464">
        <v>0</v>
      </c>
      <c r="K38" s="168">
        <v>12000</v>
      </c>
      <c r="L38" s="25">
        <v>12000</v>
      </c>
    </row>
    <row r="39" spans="1:12" x14ac:dyDescent="0.2">
      <c r="A39" s="175"/>
      <c r="B39" s="58" t="s">
        <v>1615</v>
      </c>
      <c r="C39" s="25">
        <v>9000</v>
      </c>
      <c r="D39" s="465">
        <v>9000</v>
      </c>
      <c r="E39" s="180">
        <v>0</v>
      </c>
      <c r="F39" s="25">
        <v>9000</v>
      </c>
      <c r="G39" s="25">
        <v>15000</v>
      </c>
      <c r="H39" s="180">
        <v>0</v>
      </c>
      <c r="I39" s="168">
        <v>15000</v>
      </c>
      <c r="J39" s="464">
        <v>28000</v>
      </c>
      <c r="K39" s="168">
        <v>15000</v>
      </c>
      <c r="L39" s="25">
        <v>15000</v>
      </c>
    </row>
    <row r="40" spans="1:12" x14ac:dyDescent="0.2">
      <c r="A40" s="175"/>
      <c r="B40" s="58" t="s">
        <v>1616</v>
      </c>
      <c r="C40" s="25"/>
      <c r="D40" s="465"/>
      <c r="E40" s="180"/>
      <c r="F40" s="25"/>
      <c r="G40" s="25"/>
      <c r="H40" s="180"/>
      <c r="I40" s="168">
        <v>11021</v>
      </c>
      <c r="J40" s="464">
        <v>0</v>
      </c>
      <c r="K40" s="168">
        <v>11021</v>
      </c>
      <c r="L40" s="25">
        <v>11021</v>
      </c>
    </row>
    <row r="41" spans="1:12" x14ac:dyDescent="0.2">
      <c r="A41" s="175" t="s">
        <v>1262</v>
      </c>
      <c r="B41" s="58" t="s">
        <v>1217</v>
      </c>
      <c r="C41" s="25">
        <v>0</v>
      </c>
      <c r="D41" s="465">
        <v>0</v>
      </c>
      <c r="E41" s="180">
        <v>0</v>
      </c>
      <c r="F41" s="25">
        <v>0</v>
      </c>
      <c r="G41" s="25">
        <v>0</v>
      </c>
      <c r="H41" s="180">
        <v>0</v>
      </c>
      <c r="I41" s="168">
        <v>0</v>
      </c>
      <c r="J41" s="464">
        <v>0</v>
      </c>
      <c r="K41" s="168">
        <v>97799.66</v>
      </c>
      <c r="L41" s="25">
        <v>97799.66</v>
      </c>
    </row>
    <row r="42" spans="1:12" x14ac:dyDescent="0.2">
      <c r="A42" s="58" t="s">
        <v>1448</v>
      </c>
      <c r="B42" s="58" t="s">
        <v>1380</v>
      </c>
      <c r="C42" s="466"/>
      <c r="D42" s="466"/>
      <c r="E42" s="180"/>
      <c r="F42" s="466"/>
      <c r="G42" s="466">
        <v>0</v>
      </c>
      <c r="H42" s="180">
        <v>0</v>
      </c>
      <c r="I42" s="467">
        <v>100000</v>
      </c>
      <c r="J42" s="464">
        <v>0</v>
      </c>
      <c r="K42" s="467">
        <v>100000</v>
      </c>
      <c r="L42" s="466">
        <v>100000</v>
      </c>
    </row>
    <row r="43" spans="1:12" ht="15" x14ac:dyDescent="0.25">
      <c r="A43" s="56"/>
      <c r="B43" s="57" t="s">
        <v>169</v>
      </c>
      <c r="C43" s="177">
        <f ca="1">SUM(C4:C45)</f>
        <v>393957.30677000002</v>
      </c>
      <c r="D43" s="468">
        <f ca="1">SUM(D4:D45)</f>
        <v>370497.74473040004</v>
      </c>
      <c r="E43" s="198">
        <f>SUM(E4:E41)</f>
        <v>81331.040000000008</v>
      </c>
      <c r="F43" s="177">
        <f ca="1">SUM(F4:F45)</f>
        <v>366014.64594231202</v>
      </c>
      <c r="G43" s="177">
        <f t="shared" ref="G43:L43" si="0">SUM(G4:G42)</f>
        <v>433202.98</v>
      </c>
      <c r="H43" s="198">
        <f t="shared" si="0"/>
        <v>106094.75</v>
      </c>
      <c r="I43" s="177">
        <f t="shared" si="0"/>
        <v>547987.54425000004</v>
      </c>
      <c r="J43" s="279">
        <f t="shared" si="0"/>
        <v>134679.96999999997</v>
      </c>
      <c r="K43" s="535">
        <f t="shared" si="0"/>
        <v>670998.94644500001</v>
      </c>
      <c r="L43" s="50">
        <f t="shared" si="0"/>
        <v>677211.4098027501</v>
      </c>
    </row>
    <row r="44" spans="1:12" x14ac:dyDescent="0.2">
      <c r="A44" s="457"/>
      <c r="B44" s="58"/>
      <c r="C44" s="469"/>
      <c r="D44" s="469"/>
      <c r="E44" s="2"/>
      <c r="F44" s="2"/>
      <c r="G44" s="179">
        <v>491436.78</v>
      </c>
      <c r="I44" s="49"/>
      <c r="J44" s="2"/>
      <c r="K44" s="156"/>
      <c r="L44" s="2"/>
    </row>
    <row r="45" spans="1:12" x14ac:dyDescent="0.2">
      <c r="A45" s="457"/>
      <c r="B45" s="58"/>
      <c r="C45" s="469"/>
      <c r="D45" s="469"/>
      <c r="E45" s="2"/>
      <c r="F45" s="2"/>
      <c r="G45" s="62">
        <f>SUM(G44-G43)</f>
        <v>58233.800000000047</v>
      </c>
      <c r="I45" s="62"/>
      <c r="J45" s="2"/>
      <c r="K45" s="156"/>
      <c r="L45" s="2"/>
    </row>
    <row r="46" spans="1:12" x14ac:dyDescent="0.2">
      <c r="A46"/>
      <c r="B46"/>
      <c r="C46"/>
      <c r="D46"/>
    </row>
    <row r="47" spans="1:12" x14ac:dyDescent="0.2">
      <c r="C47" s="469"/>
      <c r="D47" s="469"/>
    </row>
    <row r="48" spans="1:12" x14ac:dyDescent="0.2">
      <c r="C48" s="469"/>
      <c r="D48" s="471"/>
    </row>
    <row r="49" spans="3:4" x14ac:dyDescent="0.2">
      <c r="C49" s="469"/>
      <c r="D49" s="469"/>
    </row>
    <row r="50" spans="3:4" x14ac:dyDescent="0.2">
      <c r="C50" s="469"/>
      <c r="D50" s="469"/>
    </row>
  </sheetData>
  <phoneticPr fontId="24" type="noConversion"/>
  <pageMargins left="0.25" right="0.25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49"/>
  <sheetViews>
    <sheetView topLeftCell="A5" zoomScale="98" zoomScaleNormal="98" workbookViewId="0">
      <selection activeCell="M5" sqref="M1:M1048576"/>
    </sheetView>
  </sheetViews>
  <sheetFormatPr defaultRowHeight="14.25" x14ac:dyDescent="0.2"/>
  <cols>
    <col min="1" max="1" width="11.75" style="452" customWidth="1"/>
    <col min="2" max="2" width="29.375" style="18" customWidth="1"/>
    <col min="3" max="3" width="13" hidden="1" customWidth="1"/>
    <col min="4" max="4" width="12" style="172" hidden="1" customWidth="1"/>
    <col min="5" max="5" width="12.75" hidden="1" customWidth="1"/>
    <col min="6" max="6" width="13" hidden="1" customWidth="1"/>
    <col min="7" max="7" width="17.5" hidden="1" customWidth="1"/>
    <col min="8" max="9" width="13" hidden="1" customWidth="1"/>
    <col min="10" max="10" width="13.375" hidden="1" customWidth="1"/>
    <col min="11" max="11" width="11.5" hidden="1" customWidth="1"/>
    <col min="12" max="12" width="15.25" hidden="1" customWidth="1"/>
    <col min="13" max="13" width="16.5" hidden="1" customWidth="1"/>
    <col min="14" max="14" width="16.375" style="46" customWidth="1"/>
  </cols>
  <sheetData>
    <row r="1" spans="1:14" x14ac:dyDescent="0.2">
      <c r="A1" s="443"/>
      <c r="B1" s="444"/>
      <c r="K1" s="2"/>
    </row>
    <row r="2" spans="1:14" ht="33" customHeight="1" x14ac:dyDescent="0.25">
      <c r="A2" s="12"/>
      <c r="B2" s="12" t="s">
        <v>31</v>
      </c>
      <c r="C2" s="445" t="s">
        <v>554</v>
      </c>
      <c r="D2" s="446" t="s">
        <v>825</v>
      </c>
      <c r="E2" s="143" t="s">
        <v>1351</v>
      </c>
      <c r="F2" s="143" t="s">
        <v>1354</v>
      </c>
      <c r="G2" s="143" t="s">
        <v>1509</v>
      </c>
      <c r="H2" s="143" t="s">
        <v>1494</v>
      </c>
      <c r="I2" s="143" t="s">
        <v>1550</v>
      </c>
      <c r="J2" s="447" t="s">
        <v>1607</v>
      </c>
      <c r="K2" s="447" t="s">
        <v>1606</v>
      </c>
      <c r="L2" s="447" t="s">
        <v>1568</v>
      </c>
      <c r="M2" s="266" t="s">
        <v>1634</v>
      </c>
      <c r="N2" s="266" t="s">
        <v>1686</v>
      </c>
    </row>
    <row r="3" spans="1:14" x14ac:dyDescent="0.2">
      <c r="A3" s="427" t="s">
        <v>1263</v>
      </c>
      <c r="B3" s="287" t="s">
        <v>1221</v>
      </c>
      <c r="C3" s="292">
        <v>21632.34</v>
      </c>
      <c r="D3" s="49">
        <f>SUM(C3*1.03)</f>
        <v>22281.3102</v>
      </c>
      <c r="E3" s="180">
        <v>11513.12</v>
      </c>
      <c r="F3" s="288">
        <v>22949.75</v>
      </c>
      <c r="G3" s="49">
        <v>26111</v>
      </c>
      <c r="H3" s="180">
        <v>12653.64</v>
      </c>
      <c r="I3" s="49"/>
      <c r="J3" s="232">
        <v>29111</v>
      </c>
      <c r="K3" s="232">
        <v>29111</v>
      </c>
      <c r="L3" s="232">
        <v>15115.27</v>
      </c>
      <c r="M3" s="49">
        <f>SUM(K3)*1.03</f>
        <v>29984.33</v>
      </c>
      <c r="N3" s="49">
        <f>SUM(M3)*1.05</f>
        <v>31483.546500000004</v>
      </c>
    </row>
    <row r="4" spans="1:14" x14ac:dyDescent="0.2">
      <c r="A4" s="427" t="s">
        <v>1264</v>
      </c>
      <c r="B4" s="287" t="s">
        <v>1183</v>
      </c>
      <c r="C4" s="292">
        <v>27759.71</v>
      </c>
      <c r="D4" s="49">
        <f>SUM(C4*1.03)</f>
        <v>28592.5013</v>
      </c>
      <c r="E4" s="180">
        <v>13605.97</v>
      </c>
      <c r="F4" s="49">
        <v>29450.28</v>
      </c>
      <c r="G4" s="49">
        <v>32940</v>
      </c>
      <c r="H4" s="180">
        <v>15966.72</v>
      </c>
      <c r="I4" s="49"/>
      <c r="J4" s="232">
        <v>34440</v>
      </c>
      <c r="K4" s="232">
        <v>34440</v>
      </c>
      <c r="L4" s="232">
        <v>17107.2</v>
      </c>
      <c r="M4" s="49">
        <f>SUM(K4)*1.03</f>
        <v>35473.200000000004</v>
      </c>
      <c r="N4" s="49">
        <f>SUM(M4)*1.03</f>
        <v>36537.396000000008</v>
      </c>
    </row>
    <row r="5" spans="1:14" x14ac:dyDescent="0.2">
      <c r="A5" s="427" t="s">
        <v>1265</v>
      </c>
      <c r="B5" s="287" t="s">
        <v>1183</v>
      </c>
      <c r="C5" s="292">
        <v>27759.71</v>
      </c>
      <c r="D5" s="49">
        <f>SUM(C5*1.03)</f>
        <v>28592.5013</v>
      </c>
      <c r="E5" s="180">
        <v>14676.84</v>
      </c>
      <c r="F5" s="49">
        <v>29450.28</v>
      </c>
      <c r="G5" s="49">
        <v>32940</v>
      </c>
      <c r="H5" s="180">
        <v>15966.72</v>
      </c>
      <c r="I5" s="49"/>
      <c r="J5" s="232">
        <v>34440</v>
      </c>
      <c r="K5" s="232">
        <v>34440</v>
      </c>
      <c r="L5" s="232">
        <v>17107.2</v>
      </c>
      <c r="M5" s="49">
        <f>SUM(K5)*1.03</f>
        <v>35473.200000000004</v>
      </c>
      <c r="N5" s="49">
        <f>SUM(M5)*1.03</f>
        <v>36537.396000000008</v>
      </c>
    </row>
    <row r="6" spans="1:14" x14ac:dyDescent="0.2">
      <c r="A6" s="427" t="s">
        <v>1266</v>
      </c>
      <c r="B6" s="287" t="s">
        <v>218</v>
      </c>
      <c r="C6" s="292">
        <v>8000</v>
      </c>
      <c r="D6" s="49">
        <v>9000</v>
      </c>
      <c r="E6" s="180">
        <v>2386.88</v>
      </c>
      <c r="F6" s="49">
        <v>9000</v>
      </c>
      <c r="G6" s="49">
        <v>12000</v>
      </c>
      <c r="H6" s="180">
        <v>4572</v>
      </c>
      <c r="I6" s="49"/>
      <c r="J6" s="138">
        <v>12000</v>
      </c>
      <c r="K6" s="138">
        <v>12000</v>
      </c>
      <c r="L6" s="138">
        <v>4956.63</v>
      </c>
      <c r="M6" s="49"/>
      <c r="N6" s="49">
        <v>9000</v>
      </c>
    </row>
    <row r="7" spans="1:14" x14ac:dyDescent="0.2">
      <c r="A7" s="427" t="s">
        <v>1267</v>
      </c>
      <c r="B7" s="287" t="s">
        <v>220</v>
      </c>
      <c r="C7" s="292">
        <v>2850</v>
      </c>
      <c r="D7" s="49">
        <v>1895</v>
      </c>
      <c r="E7" s="180">
        <v>137.5</v>
      </c>
      <c r="F7" s="288">
        <v>155</v>
      </c>
      <c r="G7" s="2">
        <v>645</v>
      </c>
      <c r="H7" s="180">
        <v>290</v>
      </c>
      <c r="I7" s="2"/>
      <c r="J7" s="138">
        <v>800</v>
      </c>
      <c r="K7" s="138">
        <v>800</v>
      </c>
      <c r="L7" s="138">
        <v>415</v>
      </c>
      <c r="M7" s="49">
        <v>920</v>
      </c>
      <c r="N7" s="49">
        <v>697.5</v>
      </c>
    </row>
    <row r="8" spans="1:14" x14ac:dyDescent="0.2">
      <c r="A8" s="427" t="s">
        <v>1268</v>
      </c>
      <c r="B8" s="287" t="s">
        <v>226</v>
      </c>
      <c r="C8" s="292">
        <v>2400</v>
      </c>
      <c r="D8" s="49">
        <v>2500</v>
      </c>
      <c r="E8" s="180">
        <v>1125.48</v>
      </c>
      <c r="F8" s="49">
        <v>2500</v>
      </c>
      <c r="G8" s="49">
        <v>2500</v>
      </c>
      <c r="H8" s="180">
        <v>912.67</v>
      </c>
      <c r="I8" s="49"/>
      <c r="J8" s="138">
        <v>2500</v>
      </c>
      <c r="K8" s="138">
        <v>2500</v>
      </c>
      <c r="L8" s="138">
        <v>1127.24</v>
      </c>
      <c r="M8" s="49">
        <v>2500</v>
      </c>
      <c r="N8" s="49">
        <v>2500</v>
      </c>
    </row>
    <row r="9" spans="1:14" x14ac:dyDescent="0.2">
      <c r="A9" s="427" t="s">
        <v>1269</v>
      </c>
      <c r="B9" s="287" t="s">
        <v>228</v>
      </c>
      <c r="C9" s="50">
        <f>+SUM($C$3:$C$7)*0.129</f>
        <v>11352.227040000002</v>
      </c>
      <c r="D9" s="49">
        <f>SUM(D$3:D$7)*0.12</f>
        <v>10843.357536</v>
      </c>
      <c r="E9" s="180">
        <v>4803.6000000000004</v>
      </c>
      <c r="F9" s="49">
        <f>SUM(F$3:F$7)*0.12</f>
        <v>10920.637199999999</v>
      </c>
      <c r="G9" s="49">
        <v>11614.6</v>
      </c>
      <c r="H9" s="180">
        <v>5422.09</v>
      </c>
      <c r="I9" s="49"/>
      <c r="J9" s="138" cm="1">
        <f t="array" ref="J9">SUM(J$3:J$5+J$7)*0.099</f>
        <v>9938.7090000000007</v>
      </c>
      <c r="K9" s="138" cm="1">
        <f t="array" ref="K9">SUM(K$3:K$5+K$7)*0.099</f>
        <v>9938.7090000000007</v>
      </c>
      <c r="L9" s="138">
        <v>5783.26</v>
      </c>
      <c r="M9" s="49">
        <f>SUM(M$3:M$7)*0.095</f>
        <v>9675.8193500000016</v>
      </c>
      <c r="N9" s="49">
        <f>SUM(N$3:N$7)*0.085</f>
        <v>9711.7462725000023</v>
      </c>
    </row>
    <row r="10" spans="1:14" x14ac:dyDescent="0.2">
      <c r="A10" s="427" t="s">
        <v>1270</v>
      </c>
      <c r="B10" s="287" t="s">
        <v>230</v>
      </c>
      <c r="C10" s="50">
        <f>+SUM($C$3:$C$7)*0.0145</f>
        <v>1276.0255200000001</v>
      </c>
      <c r="D10" s="49">
        <f>SUM(D$3:D$7)*0.015</f>
        <v>1355.4196919999999</v>
      </c>
      <c r="E10" s="180">
        <v>658.85</v>
      </c>
      <c r="F10" s="49">
        <f>SUM(F$3:F$7)*0.0145</f>
        <v>1319.5769950000001</v>
      </c>
      <c r="G10" s="49">
        <v>1517.22</v>
      </c>
      <c r="H10" s="180">
        <v>788.72</v>
      </c>
      <c r="I10" s="49"/>
      <c r="J10" s="138">
        <f>SUM(J$3:J$7)*0.0145</f>
        <v>1606.4695000000002</v>
      </c>
      <c r="K10" s="138">
        <f>SUM(K$3:K$7)*0.0145</f>
        <v>1606.4695000000002</v>
      </c>
      <c r="L10" s="138">
        <v>894.39</v>
      </c>
      <c r="M10" s="49">
        <f>SUM(M$3:M$7)*0.0145</f>
        <v>1476.8355850000003</v>
      </c>
      <c r="N10" s="49">
        <f>SUM(N$3:N$7)*0.0145</f>
        <v>1656.7096582500003</v>
      </c>
    </row>
    <row r="11" spans="1:14" x14ac:dyDescent="0.2">
      <c r="A11" s="427" t="s">
        <v>1271</v>
      </c>
      <c r="B11" s="287" t="s">
        <v>232</v>
      </c>
      <c r="C11" s="50">
        <f>+SUM($C$3:$C$7)*0.062</f>
        <v>5456.109120000001</v>
      </c>
      <c r="D11" s="49">
        <f>SUM(D$3:D$7)*0.062</f>
        <v>5602.4013936000001</v>
      </c>
      <c r="E11" s="180">
        <v>2817.08</v>
      </c>
      <c r="F11" s="49">
        <f>SUM(F$3:F$7)*0.062</f>
        <v>5642.3292199999996</v>
      </c>
      <c r="G11" s="49">
        <v>6487.43</v>
      </c>
      <c r="H11" s="180">
        <v>3372.48</v>
      </c>
      <c r="I11" s="49"/>
      <c r="J11" s="138" cm="1">
        <f t="array" ref="J11">SUM(J$3:J$7*0.062)</f>
        <v>6869.0420000000013</v>
      </c>
      <c r="K11" s="138" cm="1">
        <f t="array" ref="K11">SUM(K$3:K$7*0.062)</f>
        <v>6869.0420000000013</v>
      </c>
      <c r="L11" s="138">
        <v>3824.24</v>
      </c>
      <c r="M11" s="49">
        <f>SUM(M$3:M$7)*0.062</f>
        <v>6314.7452600000006</v>
      </c>
      <c r="N11" s="49">
        <f>SUM(N$3:N$7)*0.062</f>
        <v>7083.8619870000011</v>
      </c>
    </row>
    <row r="12" spans="1:14" x14ac:dyDescent="0.2">
      <c r="A12" s="427" t="s">
        <v>1272</v>
      </c>
      <c r="B12" s="287" t="s">
        <v>234</v>
      </c>
      <c r="C12" s="50">
        <v>25462.563840000003</v>
      </c>
      <c r="D12" s="49">
        <f>+SUM(9149.55*3)</f>
        <v>27448.649999999998</v>
      </c>
      <c r="E12" s="180">
        <v>13172.62</v>
      </c>
      <c r="F12" s="49">
        <v>27895.439999999999</v>
      </c>
      <c r="G12" s="49">
        <v>31890</v>
      </c>
      <c r="H12" s="180">
        <v>17250.48</v>
      </c>
      <c r="I12" s="49"/>
      <c r="J12" s="369">
        <v>33917.040000000001</v>
      </c>
      <c r="K12" s="369">
        <v>33917.040000000001</v>
      </c>
      <c r="L12" s="369">
        <v>18371.73</v>
      </c>
      <c r="M12" s="49">
        <v>36324</v>
      </c>
      <c r="N12" s="49">
        <v>38286.720000000001</v>
      </c>
    </row>
    <row r="13" spans="1:14" x14ac:dyDescent="0.2">
      <c r="A13" s="427" t="s">
        <v>1273</v>
      </c>
      <c r="B13" s="287" t="s">
        <v>236</v>
      </c>
      <c r="C13" s="2"/>
      <c r="D13" s="49"/>
      <c r="E13" s="180">
        <v>0</v>
      </c>
      <c r="F13" s="2"/>
      <c r="G13" s="2">
        <v>0</v>
      </c>
      <c r="H13" s="180"/>
      <c r="I13" s="2"/>
      <c r="J13" s="156"/>
      <c r="K13" s="156"/>
      <c r="L13" s="156"/>
      <c r="M13" s="2"/>
      <c r="N13" s="3"/>
    </row>
    <row r="14" spans="1:14" x14ac:dyDescent="0.2">
      <c r="A14" s="427" t="s">
        <v>1608</v>
      </c>
      <c r="B14" s="287" t="s">
        <v>1571</v>
      </c>
      <c r="C14" s="2"/>
      <c r="D14" s="49"/>
      <c r="E14" s="180"/>
      <c r="F14" s="2"/>
      <c r="G14" s="2"/>
      <c r="H14" s="180"/>
      <c r="I14" s="2"/>
      <c r="J14" s="156"/>
      <c r="K14" s="156"/>
      <c r="L14" s="156">
        <v>1555.2</v>
      </c>
      <c r="M14" s="2"/>
      <c r="N14" s="3"/>
    </row>
    <row r="15" spans="1:14" x14ac:dyDescent="0.2">
      <c r="A15" s="427" t="s">
        <v>1274</v>
      </c>
      <c r="B15" s="287" t="s">
        <v>238</v>
      </c>
      <c r="C15" s="292">
        <v>4800</v>
      </c>
      <c r="D15" s="292">
        <v>4800</v>
      </c>
      <c r="E15" s="180">
        <v>2408</v>
      </c>
      <c r="F15" s="292">
        <v>4800</v>
      </c>
      <c r="G15" s="292">
        <v>4800</v>
      </c>
      <c r="H15" s="180">
        <v>2400.06</v>
      </c>
      <c r="I15" s="292"/>
      <c r="J15" s="368">
        <v>4800</v>
      </c>
      <c r="K15" s="368">
        <v>4800</v>
      </c>
      <c r="L15" s="368">
        <v>2584.6799999999998</v>
      </c>
      <c r="M15" s="292">
        <v>4800</v>
      </c>
      <c r="N15" s="292">
        <v>4800</v>
      </c>
    </row>
    <row r="16" spans="1:14" x14ac:dyDescent="0.2">
      <c r="A16" s="427" t="s">
        <v>1275</v>
      </c>
      <c r="B16" s="287" t="s">
        <v>1120</v>
      </c>
      <c r="C16" s="292">
        <v>28000</v>
      </c>
      <c r="D16" s="292">
        <v>28000</v>
      </c>
      <c r="E16" s="180">
        <v>8941.48</v>
      </c>
      <c r="F16" s="292">
        <v>28000</v>
      </c>
      <c r="G16" s="292">
        <v>28000</v>
      </c>
      <c r="H16" s="180">
        <v>10687.51</v>
      </c>
      <c r="I16" s="292"/>
      <c r="J16" s="368">
        <v>25000</v>
      </c>
      <c r="K16" s="368">
        <v>25000</v>
      </c>
      <c r="L16" s="368">
        <v>25273.53</v>
      </c>
      <c r="M16" s="292">
        <v>30000</v>
      </c>
      <c r="N16" s="3">
        <v>35000</v>
      </c>
    </row>
    <row r="17" spans="1:14" x14ac:dyDescent="0.2">
      <c r="A17" s="427" t="s">
        <v>1276</v>
      </c>
      <c r="B17" s="287" t="s">
        <v>1077</v>
      </c>
      <c r="C17" s="292">
        <v>0</v>
      </c>
      <c r="D17" s="292">
        <v>0</v>
      </c>
      <c r="E17" s="180">
        <v>0</v>
      </c>
      <c r="F17" s="292">
        <v>0</v>
      </c>
      <c r="G17" s="292">
        <v>0</v>
      </c>
      <c r="H17" s="180"/>
      <c r="I17" s="292"/>
      <c r="J17" s="368">
        <v>0</v>
      </c>
      <c r="K17" s="368">
        <v>0</v>
      </c>
      <c r="L17" s="368">
        <v>0</v>
      </c>
      <c r="M17" s="292">
        <v>0</v>
      </c>
      <c r="N17" s="3"/>
    </row>
    <row r="18" spans="1:14" x14ac:dyDescent="0.2">
      <c r="A18" s="427" t="s">
        <v>1277</v>
      </c>
      <c r="B18" s="287" t="s">
        <v>1079</v>
      </c>
      <c r="C18" s="292">
        <v>4000</v>
      </c>
      <c r="D18" s="292">
        <v>6500</v>
      </c>
      <c r="E18" s="180">
        <v>110</v>
      </c>
      <c r="F18" s="292">
        <v>6500</v>
      </c>
      <c r="G18" s="292">
        <v>9000</v>
      </c>
      <c r="H18" s="180">
        <v>4829.9399999999996</v>
      </c>
      <c r="I18" s="292"/>
      <c r="J18" s="368">
        <v>9000</v>
      </c>
      <c r="K18" s="368">
        <v>9000</v>
      </c>
      <c r="L18" s="368">
        <v>4829.71</v>
      </c>
      <c r="M18" s="292">
        <v>9000</v>
      </c>
      <c r="N18" s="292">
        <v>9000</v>
      </c>
    </row>
    <row r="19" spans="1:14" x14ac:dyDescent="0.2">
      <c r="A19" s="427" t="s">
        <v>1278</v>
      </c>
      <c r="B19" s="287" t="s">
        <v>248</v>
      </c>
      <c r="C19" s="292">
        <v>127.5</v>
      </c>
      <c r="D19" s="292">
        <v>127.5</v>
      </c>
      <c r="E19" s="180">
        <v>177.5</v>
      </c>
      <c r="F19" s="292">
        <v>127.5</v>
      </c>
      <c r="G19" s="292">
        <v>127.5</v>
      </c>
      <c r="H19" s="180"/>
      <c r="I19" s="292"/>
      <c r="J19" s="368">
        <v>127.5</v>
      </c>
      <c r="K19" s="368">
        <v>127.5</v>
      </c>
      <c r="L19" s="368">
        <v>0</v>
      </c>
      <c r="M19" s="292">
        <v>127.5</v>
      </c>
      <c r="N19" s="292">
        <v>127.5</v>
      </c>
    </row>
    <row r="20" spans="1:14" x14ac:dyDescent="0.2">
      <c r="A20" s="427" t="s">
        <v>1279</v>
      </c>
      <c r="B20" s="287" t="s">
        <v>250</v>
      </c>
      <c r="C20" s="292">
        <v>1700</v>
      </c>
      <c r="D20" s="292">
        <v>1700</v>
      </c>
      <c r="E20" s="180">
        <v>2152.6</v>
      </c>
      <c r="F20" s="292">
        <v>2500</v>
      </c>
      <c r="G20" s="292">
        <v>2500</v>
      </c>
      <c r="H20" s="180">
        <v>250</v>
      </c>
      <c r="I20" s="292"/>
      <c r="J20" s="368">
        <v>2500</v>
      </c>
      <c r="K20" s="368">
        <v>2500</v>
      </c>
      <c r="L20" s="368">
        <v>250</v>
      </c>
      <c r="M20" s="292">
        <v>2500</v>
      </c>
      <c r="N20" s="3">
        <v>3000</v>
      </c>
    </row>
    <row r="21" spans="1:14" x14ac:dyDescent="0.2">
      <c r="A21" s="427" t="s">
        <v>1280</v>
      </c>
      <c r="B21" s="287" t="s">
        <v>599</v>
      </c>
      <c r="C21" s="292">
        <v>1200</v>
      </c>
      <c r="D21" s="292">
        <v>1200</v>
      </c>
      <c r="E21" s="180">
        <v>600</v>
      </c>
      <c r="F21" s="292">
        <v>1200</v>
      </c>
      <c r="G21" s="292">
        <v>1200</v>
      </c>
      <c r="H21" s="180">
        <v>650</v>
      </c>
      <c r="I21" s="292"/>
      <c r="J21" s="368">
        <v>1200</v>
      </c>
      <c r="K21" s="368">
        <v>1200</v>
      </c>
      <c r="L21" s="368">
        <v>650</v>
      </c>
      <c r="M21" s="292">
        <v>1200</v>
      </c>
      <c r="N21" s="3">
        <v>1500</v>
      </c>
    </row>
    <row r="22" spans="1:14" x14ac:dyDescent="0.2">
      <c r="A22" s="427" t="s">
        <v>1485</v>
      </c>
      <c r="B22" s="287" t="s">
        <v>1486</v>
      </c>
      <c r="C22" s="292"/>
      <c r="D22" s="292"/>
      <c r="E22" s="180"/>
      <c r="F22" s="292"/>
      <c r="G22" s="292">
        <v>7000</v>
      </c>
      <c r="H22" s="180">
        <v>1860.09</v>
      </c>
      <c r="I22" s="292"/>
      <c r="J22" s="368">
        <v>7000</v>
      </c>
      <c r="K22" s="368">
        <v>7000</v>
      </c>
      <c r="L22" s="368">
        <v>1783.69</v>
      </c>
      <c r="M22" s="292">
        <v>7000</v>
      </c>
      <c r="N22" s="292">
        <v>7000</v>
      </c>
    </row>
    <row r="23" spans="1:14" x14ac:dyDescent="0.2">
      <c r="A23" s="427" t="s">
        <v>1281</v>
      </c>
      <c r="B23" s="287" t="s">
        <v>759</v>
      </c>
      <c r="C23" s="292">
        <v>4000</v>
      </c>
      <c r="D23" s="292">
        <v>4000</v>
      </c>
      <c r="E23" s="180">
        <v>7.5</v>
      </c>
      <c r="F23" s="288">
        <v>5000</v>
      </c>
      <c r="G23" s="288">
        <v>5000</v>
      </c>
      <c r="H23" s="180">
        <v>657.74</v>
      </c>
      <c r="I23" s="288"/>
      <c r="J23" s="369">
        <v>5000</v>
      </c>
      <c r="K23" s="369">
        <v>5000</v>
      </c>
      <c r="L23" s="369">
        <v>1297.45</v>
      </c>
      <c r="M23" s="288">
        <v>5000</v>
      </c>
      <c r="N23" s="288">
        <v>5000</v>
      </c>
    </row>
    <row r="24" spans="1:14" x14ac:dyDescent="0.2">
      <c r="A24" s="427" t="s">
        <v>1282</v>
      </c>
      <c r="B24" s="287" t="s">
        <v>1200</v>
      </c>
      <c r="C24" s="292">
        <v>600</v>
      </c>
      <c r="D24" s="292">
        <v>600</v>
      </c>
      <c r="E24" s="180">
        <v>600</v>
      </c>
      <c r="F24" s="288">
        <v>600</v>
      </c>
      <c r="G24" s="288">
        <v>600</v>
      </c>
      <c r="H24" s="180">
        <v>600</v>
      </c>
      <c r="I24" s="288"/>
      <c r="J24" s="369">
        <v>600</v>
      </c>
      <c r="K24" s="369">
        <v>600</v>
      </c>
      <c r="L24" s="369">
        <v>0</v>
      </c>
      <c r="M24" s="288">
        <v>600</v>
      </c>
      <c r="N24" s="288">
        <v>600</v>
      </c>
    </row>
    <row r="25" spans="1:14" x14ac:dyDescent="0.2">
      <c r="A25" s="427" t="s">
        <v>1283</v>
      </c>
      <c r="B25" s="287" t="s">
        <v>1202</v>
      </c>
      <c r="C25" s="292">
        <v>5000</v>
      </c>
      <c r="D25" s="292">
        <v>5000</v>
      </c>
      <c r="E25" s="180">
        <v>585.62</v>
      </c>
      <c r="F25" s="288">
        <v>5000</v>
      </c>
      <c r="G25" s="288">
        <v>5000</v>
      </c>
      <c r="H25" s="180">
        <v>1660.5</v>
      </c>
      <c r="I25" s="288"/>
      <c r="J25" s="369">
        <v>5000</v>
      </c>
      <c r="K25" s="369">
        <v>5000</v>
      </c>
      <c r="L25" s="369">
        <v>4016.4</v>
      </c>
      <c r="M25" s="288">
        <v>5000</v>
      </c>
      <c r="N25" s="3">
        <v>6000</v>
      </c>
    </row>
    <row r="26" spans="1:14" x14ac:dyDescent="0.2">
      <c r="A26" s="427" t="s">
        <v>1284</v>
      </c>
      <c r="B26" s="287" t="s">
        <v>1244</v>
      </c>
      <c r="C26" s="292">
        <v>6000</v>
      </c>
      <c r="D26" s="292">
        <v>14046.98</v>
      </c>
      <c r="E26" s="180">
        <v>11328.84</v>
      </c>
      <c r="F26" s="288">
        <v>15000</v>
      </c>
      <c r="G26" s="288">
        <v>25000</v>
      </c>
      <c r="H26" s="180">
        <v>2189.06</v>
      </c>
      <c r="I26" s="288"/>
      <c r="J26" s="369">
        <v>15000</v>
      </c>
      <c r="K26" s="369">
        <v>15000</v>
      </c>
      <c r="L26" s="369">
        <v>5562.11</v>
      </c>
      <c r="M26" s="288">
        <v>15000</v>
      </c>
      <c r="N26" s="3">
        <v>10000</v>
      </c>
    </row>
    <row r="27" spans="1:14" x14ac:dyDescent="0.2">
      <c r="A27" s="427" t="s">
        <v>1285</v>
      </c>
      <c r="B27" s="287" t="s">
        <v>1286</v>
      </c>
      <c r="C27" s="292">
        <v>5500</v>
      </c>
      <c r="D27" s="292">
        <v>5500</v>
      </c>
      <c r="E27" s="180">
        <v>0</v>
      </c>
      <c r="F27" s="288">
        <v>5500</v>
      </c>
      <c r="G27" s="288">
        <v>8000</v>
      </c>
      <c r="H27" s="288">
        <v>8000</v>
      </c>
      <c r="I27" s="288"/>
      <c r="J27" s="369">
        <v>8000</v>
      </c>
      <c r="K27" s="369">
        <v>8000</v>
      </c>
      <c r="L27" s="369">
        <v>0</v>
      </c>
      <c r="M27" s="288">
        <v>8000</v>
      </c>
      <c r="N27" s="3">
        <v>10000</v>
      </c>
    </row>
    <row r="28" spans="1:14" x14ac:dyDescent="0.2">
      <c r="A28" s="427" t="s">
        <v>1287</v>
      </c>
      <c r="B28" s="287" t="s">
        <v>1208</v>
      </c>
      <c r="C28" s="292">
        <v>7436.63</v>
      </c>
      <c r="D28" s="292">
        <v>7436.63</v>
      </c>
      <c r="E28" s="180">
        <v>0</v>
      </c>
      <c r="F28" s="288">
        <v>10000</v>
      </c>
      <c r="G28" s="288">
        <v>6000</v>
      </c>
      <c r="H28" s="288">
        <v>6000</v>
      </c>
      <c r="I28" s="288"/>
      <c r="J28" s="369">
        <v>6000</v>
      </c>
      <c r="K28" s="369">
        <v>6000</v>
      </c>
      <c r="L28" s="369">
        <v>153.63</v>
      </c>
      <c r="M28" s="288">
        <v>6000</v>
      </c>
      <c r="N28" s="3">
        <v>6000</v>
      </c>
    </row>
    <row r="29" spans="1:14" x14ac:dyDescent="0.2">
      <c r="A29" s="427" t="s">
        <v>1288</v>
      </c>
      <c r="B29" s="287" t="s">
        <v>1248</v>
      </c>
      <c r="C29" s="292">
        <v>500</v>
      </c>
      <c r="D29" s="292">
        <v>500</v>
      </c>
      <c r="E29" s="180">
        <v>0</v>
      </c>
      <c r="F29" s="288">
        <v>500</v>
      </c>
      <c r="G29" s="288">
        <v>500</v>
      </c>
      <c r="H29" s="180">
        <v>2275</v>
      </c>
      <c r="I29" s="288"/>
      <c r="J29" s="369">
        <v>500</v>
      </c>
      <c r="K29" s="369">
        <v>500</v>
      </c>
      <c r="L29" s="369">
        <v>0</v>
      </c>
      <c r="M29" s="288">
        <v>500</v>
      </c>
      <c r="N29" s="3">
        <v>1000</v>
      </c>
    </row>
    <row r="30" spans="1:14" x14ac:dyDescent="0.2">
      <c r="A30" s="427" t="s">
        <v>1289</v>
      </c>
      <c r="B30" s="287" t="s">
        <v>258</v>
      </c>
      <c r="C30" s="292">
        <v>500</v>
      </c>
      <c r="D30" s="292">
        <v>500</v>
      </c>
      <c r="E30" s="180">
        <v>184</v>
      </c>
      <c r="F30" s="288">
        <v>500</v>
      </c>
      <c r="G30" s="288">
        <v>3000</v>
      </c>
      <c r="H30" s="180">
        <v>252.85</v>
      </c>
      <c r="I30" s="288"/>
      <c r="J30" s="369">
        <v>3000</v>
      </c>
      <c r="K30" s="369">
        <v>3000</v>
      </c>
      <c r="L30" s="369">
        <v>16.5</v>
      </c>
      <c r="M30" s="288">
        <v>3000</v>
      </c>
      <c r="N30" s="288">
        <v>3000</v>
      </c>
    </row>
    <row r="31" spans="1:14" x14ac:dyDescent="0.2">
      <c r="A31" s="427" t="s">
        <v>1290</v>
      </c>
      <c r="B31" s="287" t="s">
        <v>900</v>
      </c>
      <c r="C31" s="370">
        <v>128519.65</v>
      </c>
      <c r="D31" s="292">
        <v>126599.6</v>
      </c>
      <c r="E31" s="180">
        <v>0</v>
      </c>
      <c r="F31" s="292">
        <v>94602.12</v>
      </c>
      <c r="G31" s="292">
        <v>30089.56</v>
      </c>
      <c r="H31" s="180"/>
      <c r="I31" s="292"/>
      <c r="J31" s="368">
        <v>26799.24</v>
      </c>
      <c r="K31" s="368">
        <v>26799.24</v>
      </c>
      <c r="L31" s="368">
        <v>0</v>
      </c>
      <c r="M31" s="292">
        <v>31473.32</v>
      </c>
      <c r="N31" s="292">
        <v>31473.32</v>
      </c>
    </row>
    <row r="32" spans="1:14" x14ac:dyDescent="0.2">
      <c r="A32" s="427" t="s">
        <v>1291</v>
      </c>
      <c r="B32" s="287" t="s">
        <v>1379</v>
      </c>
      <c r="C32" s="292">
        <v>13462</v>
      </c>
      <c r="D32" s="50">
        <v>13935.28</v>
      </c>
      <c r="E32" s="180">
        <v>0</v>
      </c>
      <c r="F32" s="288">
        <v>4217</v>
      </c>
      <c r="G32" s="288">
        <v>76019</v>
      </c>
      <c r="H32" s="180">
        <v>63846.96</v>
      </c>
      <c r="I32" s="288"/>
      <c r="J32" s="369">
        <v>76020</v>
      </c>
      <c r="K32" s="369">
        <v>76020</v>
      </c>
      <c r="L32" s="369">
        <v>65550.509999999995</v>
      </c>
      <c r="M32" s="288">
        <v>76020</v>
      </c>
      <c r="N32" s="589">
        <v>69202</v>
      </c>
    </row>
    <row r="33" spans="1:14" x14ac:dyDescent="0.2">
      <c r="A33" s="427" t="s">
        <v>1292</v>
      </c>
      <c r="B33" s="287" t="s">
        <v>1254</v>
      </c>
      <c r="C33" s="292">
        <v>962.45</v>
      </c>
      <c r="D33" s="50">
        <v>989.53</v>
      </c>
      <c r="E33" s="180">
        <v>0</v>
      </c>
      <c r="F33" s="288">
        <v>989</v>
      </c>
      <c r="G33" s="288">
        <v>7500</v>
      </c>
      <c r="H33" s="180">
        <v>12172.54</v>
      </c>
      <c r="I33" s="288"/>
      <c r="J33" s="369">
        <v>7500</v>
      </c>
      <c r="K33" s="369">
        <v>7500</v>
      </c>
      <c r="L33" s="369">
        <v>10468.99</v>
      </c>
      <c r="M33" s="288">
        <v>7500</v>
      </c>
      <c r="N33" s="288">
        <v>7500</v>
      </c>
    </row>
    <row r="34" spans="1:14" x14ac:dyDescent="0.2">
      <c r="A34" s="427" t="s">
        <v>1293</v>
      </c>
      <c r="B34" s="287" t="s">
        <v>338</v>
      </c>
      <c r="C34" s="292">
        <v>0</v>
      </c>
      <c r="D34" s="292">
        <v>0</v>
      </c>
      <c r="E34" s="180">
        <v>3905.94</v>
      </c>
      <c r="F34" s="288"/>
      <c r="G34" s="288">
        <v>5000</v>
      </c>
      <c r="H34" s="180"/>
      <c r="I34" s="288"/>
      <c r="J34" s="369">
        <v>5000</v>
      </c>
      <c r="K34" s="369">
        <v>5000</v>
      </c>
      <c r="L34" s="369">
        <v>0</v>
      </c>
      <c r="M34" s="288">
        <v>5000</v>
      </c>
      <c r="N34" s="288">
        <v>5000</v>
      </c>
    </row>
    <row r="35" spans="1:14" x14ac:dyDescent="0.2">
      <c r="A35" s="427" t="s">
        <v>1294</v>
      </c>
      <c r="B35" s="287" t="s">
        <v>1214</v>
      </c>
      <c r="C35" s="292">
        <v>6667.09</v>
      </c>
      <c r="D35" s="292">
        <v>6451.37</v>
      </c>
      <c r="E35" s="180">
        <v>5064.74</v>
      </c>
      <c r="F35" s="49">
        <v>6451</v>
      </c>
      <c r="G35" s="49">
        <v>6451</v>
      </c>
      <c r="H35" s="180">
        <v>6451</v>
      </c>
      <c r="I35" s="49"/>
      <c r="J35" s="138">
        <v>6451</v>
      </c>
      <c r="K35" s="138">
        <v>6451</v>
      </c>
      <c r="L35" s="138">
        <v>6289.58</v>
      </c>
      <c r="M35" s="49">
        <v>6451</v>
      </c>
      <c r="N35" s="49">
        <v>6451</v>
      </c>
    </row>
    <row r="36" spans="1:14" x14ac:dyDescent="0.2">
      <c r="A36" s="427" t="s">
        <v>1295</v>
      </c>
      <c r="B36" s="287" t="s">
        <v>1258</v>
      </c>
      <c r="C36" s="292">
        <v>0</v>
      </c>
      <c r="D36" s="292">
        <v>0</v>
      </c>
      <c r="E36" s="180">
        <v>0</v>
      </c>
      <c r="F36" s="180">
        <v>500</v>
      </c>
      <c r="G36" s="180">
        <v>500</v>
      </c>
      <c r="H36" s="180"/>
      <c r="I36" s="180"/>
      <c r="J36" s="232">
        <v>500</v>
      </c>
      <c r="K36" s="232">
        <v>500</v>
      </c>
      <c r="L36" s="232">
        <v>0</v>
      </c>
      <c r="M36" s="180">
        <v>500</v>
      </c>
      <c r="N36" s="477">
        <v>500</v>
      </c>
    </row>
    <row r="37" spans="1:14" x14ac:dyDescent="0.2">
      <c r="A37" s="427" t="s">
        <v>1296</v>
      </c>
      <c r="B37" s="287" t="s">
        <v>1260</v>
      </c>
      <c r="C37" s="292">
        <v>0</v>
      </c>
      <c r="D37" s="292">
        <v>0</v>
      </c>
      <c r="E37" s="180">
        <v>0</v>
      </c>
      <c r="F37" s="180"/>
      <c r="G37" s="180">
        <v>9500</v>
      </c>
      <c r="H37" s="180">
        <v>8350</v>
      </c>
      <c r="I37" s="180"/>
      <c r="J37" s="232">
        <v>9500</v>
      </c>
      <c r="K37" s="232">
        <v>9500</v>
      </c>
      <c r="L37" s="232">
        <v>0</v>
      </c>
      <c r="M37" s="180">
        <v>9500</v>
      </c>
      <c r="N37" s="477">
        <v>9500</v>
      </c>
    </row>
    <row r="38" spans="1:14" x14ac:dyDescent="0.2">
      <c r="A38" s="427" t="s">
        <v>1449</v>
      </c>
      <c r="B38" s="287" t="s">
        <v>1450</v>
      </c>
      <c r="C38" s="292"/>
      <c r="D38" s="292"/>
      <c r="E38" s="180"/>
      <c r="F38" s="180"/>
      <c r="G38" s="180">
        <v>12928</v>
      </c>
      <c r="H38" s="180"/>
      <c r="I38" s="180"/>
      <c r="J38" s="232">
        <v>12928</v>
      </c>
      <c r="K38" s="232">
        <v>12928</v>
      </c>
      <c r="L38" s="232">
        <v>0</v>
      </c>
      <c r="M38" s="180">
        <v>12928</v>
      </c>
      <c r="N38" s="477">
        <v>12928</v>
      </c>
    </row>
    <row r="39" spans="1:14" x14ac:dyDescent="0.2">
      <c r="A39" s="427" t="s">
        <v>1297</v>
      </c>
      <c r="B39" s="287" t="s">
        <v>1217</v>
      </c>
      <c r="C39" s="292">
        <v>0</v>
      </c>
      <c r="D39" s="292">
        <v>0</v>
      </c>
      <c r="E39" s="180"/>
      <c r="F39" s="180"/>
      <c r="G39" s="180">
        <v>0</v>
      </c>
      <c r="H39" s="180"/>
      <c r="I39" s="180"/>
      <c r="J39" s="232">
        <v>0</v>
      </c>
      <c r="K39" s="232">
        <v>0</v>
      </c>
      <c r="L39" s="232">
        <v>0</v>
      </c>
      <c r="M39" s="180">
        <v>0</v>
      </c>
      <c r="N39" s="477">
        <v>0</v>
      </c>
    </row>
    <row r="40" spans="1:14" x14ac:dyDescent="0.2">
      <c r="A40" s="427" t="s">
        <v>1451</v>
      </c>
      <c r="B40" s="287" t="s">
        <v>1380</v>
      </c>
      <c r="C40" s="292"/>
      <c r="D40" s="292"/>
      <c r="E40" s="180"/>
      <c r="F40" s="180">
        <v>30000</v>
      </c>
      <c r="G40" s="180">
        <v>0</v>
      </c>
      <c r="H40" s="180"/>
      <c r="I40" s="180"/>
      <c r="J40" s="232">
        <v>0</v>
      </c>
      <c r="K40" s="232">
        <v>0</v>
      </c>
      <c r="L40" s="232">
        <v>0</v>
      </c>
      <c r="M40" s="180">
        <v>0</v>
      </c>
      <c r="N40" s="477">
        <v>0</v>
      </c>
    </row>
    <row r="41" spans="1:14" x14ac:dyDescent="0.2">
      <c r="A41" s="427" t="s">
        <v>1452</v>
      </c>
      <c r="B41" s="287" t="s">
        <v>1410</v>
      </c>
      <c r="C41" s="292"/>
      <c r="D41" s="292"/>
      <c r="E41" s="180"/>
      <c r="F41" s="180"/>
      <c r="G41" s="180">
        <v>12087</v>
      </c>
      <c r="H41" s="180"/>
      <c r="I41" s="180">
        <v>12087</v>
      </c>
      <c r="J41" s="232">
        <v>12087</v>
      </c>
      <c r="K41" s="232">
        <v>12087</v>
      </c>
      <c r="L41" s="232">
        <v>0</v>
      </c>
      <c r="M41" s="180">
        <v>12087</v>
      </c>
      <c r="N41" s="477">
        <v>12087</v>
      </c>
    </row>
    <row r="42" spans="1:14" x14ac:dyDescent="0.2">
      <c r="A42" s="427"/>
      <c r="B42" s="287" t="s">
        <v>1320</v>
      </c>
      <c r="C42" s="292"/>
      <c r="D42" s="292"/>
      <c r="E42" s="180"/>
      <c r="F42" s="180"/>
      <c r="G42" s="180">
        <v>6500</v>
      </c>
      <c r="H42" s="180"/>
      <c r="I42" s="180">
        <v>6500</v>
      </c>
      <c r="J42" s="232">
        <v>6500</v>
      </c>
      <c r="K42" s="232">
        <v>6500</v>
      </c>
      <c r="L42" s="232">
        <v>0</v>
      </c>
      <c r="M42" s="180">
        <v>6500</v>
      </c>
      <c r="N42" s="477">
        <v>7000</v>
      </c>
    </row>
    <row r="43" spans="1:14" x14ac:dyDescent="0.2">
      <c r="A43" s="427"/>
      <c r="B43" s="287" t="s">
        <v>1683</v>
      </c>
      <c r="C43" s="292"/>
      <c r="D43" s="292"/>
      <c r="E43" s="180"/>
      <c r="F43" s="180"/>
      <c r="G43" s="292">
        <v>15000</v>
      </c>
      <c r="H43" s="292"/>
      <c r="I43" s="292">
        <v>15000</v>
      </c>
      <c r="J43" s="368">
        <v>15000</v>
      </c>
      <c r="K43" s="368">
        <v>15000</v>
      </c>
      <c r="L43" s="368">
        <v>0</v>
      </c>
      <c r="M43" s="292">
        <v>15000</v>
      </c>
      <c r="N43" s="292">
        <v>26000</v>
      </c>
    </row>
    <row r="44" spans="1:14" x14ac:dyDescent="0.2">
      <c r="A44" s="427"/>
      <c r="B44" s="287"/>
      <c r="C44" s="292"/>
      <c r="D44" s="292"/>
      <c r="E44" s="180"/>
      <c r="F44" s="180"/>
      <c r="G44" s="292"/>
      <c r="H44" s="292"/>
      <c r="I44" s="292"/>
      <c r="J44" s="368"/>
      <c r="K44" s="368"/>
      <c r="L44" s="368"/>
      <c r="M44" s="292"/>
      <c r="N44" s="292"/>
    </row>
    <row r="45" spans="1:14" ht="15" x14ac:dyDescent="0.25">
      <c r="A45" s="281"/>
      <c r="B45" s="294" t="s">
        <v>169</v>
      </c>
      <c r="C45" s="417">
        <f>SUM(C3:C39)</f>
        <v>352924.00552000001</v>
      </c>
      <c r="D45" s="417">
        <f>SUM(D3:D39)</f>
        <v>365998.03142160003</v>
      </c>
      <c r="E45" s="198">
        <f>SUM(E3:E39)</f>
        <v>100964.16</v>
      </c>
      <c r="F45" s="198">
        <f ca="1">SUM(F3:F47)</f>
        <v>376174.47341499996</v>
      </c>
      <c r="G45" s="198">
        <f t="shared" ref="G45:N45" si="0">SUM(G3:G43)</f>
        <v>445947.31</v>
      </c>
      <c r="H45" s="198">
        <f t="shared" si="0"/>
        <v>210328.77000000002</v>
      </c>
      <c r="I45" s="198">
        <f t="shared" si="0"/>
        <v>33587</v>
      </c>
      <c r="J45" s="448">
        <f t="shared" si="0"/>
        <v>436635.00050000002</v>
      </c>
      <c r="K45" s="448">
        <f t="shared" si="0"/>
        <v>436635.00050000002</v>
      </c>
      <c r="L45" s="448">
        <f t="shared" si="0"/>
        <v>214984.13999999993</v>
      </c>
      <c r="M45" s="198">
        <f t="shared" si="0"/>
        <v>438828.95019499998</v>
      </c>
      <c r="N45" s="3">
        <f t="shared" si="0"/>
        <v>463163.69641775003</v>
      </c>
    </row>
    <row r="46" spans="1:14" x14ac:dyDescent="0.2">
      <c r="A46" s="449"/>
      <c r="B46" s="287"/>
      <c r="C46" s="355"/>
      <c r="D46" s="49"/>
      <c r="E46" s="180"/>
      <c r="F46" s="232"/>
      <c r="G46" s="450">
        <v>0</v>
      </c>
      <c r="H46" s="180"/>
      <c r="I46" s="180"/>
      <c r="J46" s="138"/>
      <c r="K46" s="2"/>
      <c r="L46" s="2"/>
      <c r="M46" s="2"/>
      <c r="N46" s="3"/>
    </row>
    <row r="47" spans="1:14" x14ac:dyDescent="0.2">
      <c r="A47" s="449"/>
      <c r="B47" s="287"/>
      <c r="C47" s="355"/>
      <c r="D47" s="49"/>
      <c r="E47" s="180"/>
      <c r="F47" s="232"/>
      <c r="G47" s="451">
        <v>0</v>
      </c>
      <c r="H47" s="180"/>
      <c r="I47" s="180"/>
      <c r="J47" s="291"/>
      <c r="K47" s="2"/>
      <c r="L47" s="2"/>
      <c r="M47" s="2"/>
      <c r="N47" s="3"/>
    </row>
    <row r="48" spans="1:14" x14ac:dyDescent="0.2">
      <c r="A48" s="449"/>
      <c r="B48" s="287"/>
      <c r="C48" s="2"/>
      <c r="D48" s="49"/>
      <c r="E48" s="180"/>
      <c r="F48" s="232"/>
      <c r="G48" s="2"/>
      <c r="H48" s="180"/>
      <c r="I48" s="180"/>
      <c r="J48" s="156"/>
      <c r="K48" s="2"/>
      <c r="L48" s="2"/>
      <c r="M48" s="2"/>
      <c r="N48" s="3"/>
    </row>
    <row r="49" spans="1:14" x14ac:dyDescent="0.2">
      <c r="A49" s="449"/>
      <c r="B49" s="287"/>
      <c r="C49" s="2"/>
      <c r="D49" s="292"/>
      <c r="E49" s="180"/>
      <c r="F49" s="232"/>
      <c r="G49" s="2"/>
      <c r="H49" s="180"/>
      <c r="I49" s="180"/>
      <c r="J49" s="156"/>
      <c r="K49" s="2"/>
      <c r="L49" s="2"/>
      <c r="M49" s="2"/>
      <c r="N49" s="3"/>
    </row>
  </sheetData>
  <phoneticPr fontId="24" type="noConversion"/>
  <pageMargins left="0.25" right="0.25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49"/>
  <sheetViews>
    <sheetView zoomScale="90" zoomScaleNormal="90" workbookViewId="0">
      <selection activeCell="L1" sqref="L1:L1048576"/>
    </sheetView>
  </sheetViews>
  <sheetFormatPr defaultColWidth="8.75" defaultRowHeight="15" x14ac:dyDescent="0.25"/>
  <cols>
    <col min="1" max="1" width="11.75" style="440" customWidth="1"/>
    <col min="2" max="2" width="29" style="441" customWidth="1"/>
    <col min="3" max="3" width="12.75" style="442" hidden="1" customWidth="1"/>
    <col min="4" max="4" width="13" style="442" hidden="1" customWidth="1"/>
    <col min="5" max="5" width="12.375" style="422" hidden="1" customWidth="1"/>
    <col min="6" max="6" width="12.5" style="422" hidden="1" customWidth="1"/>
    <col min="7" max="8" width="13.75" style="422" hidden="1" customWidth="1"/>
    <col min="9" max="9" width="13.375" style="442" hidden="1" customWidth="1"/>
    <col min="10" max="10" width="12.375" style="422" hidden="1" customWidth="1"/>
    <col min="11" max="11" width="16.375" style="422" hidden="1" customWidth="1"/>
    <col min="12" max="12" width="16.875" style="422" hidden="1" customWidth="1"/>
    <col min="13" max="13" width="12.75" style="422" customWidth="1"/>
    <col min="14" max="14" width="20.25" style="422" customWidth="1"/>
    <col min="15" max="16384" width="8.75" style="422"/>
  </cols>
  <sheetData>
    <row r="1" spans="1:13" x14ac:dyDescent="0.25">
      <c r="A1" s="419"/>
      <c r="B1" s="420"/>
      <c r="C1" s="421"/>
      <c r="D1" s="369"/>
      <c r="E1" s="290"/>
      <c r="F1" s="290"/>
      <c r="G1" s="290"/>
      <c r="H1" s="290"/>
      <c r="I1" s="421"/>
      <c r="J1" s="285"/>
      <c r="K1" s="290"/>
      <c r="L1" s="290"/>
    </row>
    <row r="2" spans="1:13" ht="45" x14ac:dyDescent="0.25">
      <c r="A2" s="281"/>
      <c r="B2" s="281" t="s">
        <v>32</v>
      </c>
      <c r="C2" s="423" t="s">
        <v>554</v>
      </c>
      <c r="D2" s="424" t="s">
        <v>720</v>
      </c>
      <c r="E2" s="282" t="s">
        <v>1351</v>
      </c>
      <c r="F2" s="282" t="s">
        <v>1354</v>
      </c>
      <c r="G2" s="282" t="s">
        <v>1509</v>
      </c>
      <c r="H2" s="282" t="s">
        <v>1553</v>
      </c>
      <c r="I2" s="425" t="s">
        <v>1609</v>
      </c>
      <c r="J2" s="425" t="s">
        <v>1635</v>
      </c>
      <c r="K2" s="425" t="s">
        <v>1568</v>
      </c>
      <c r="L2" s="426" t="s">
        <v>1640</v>
      </c>
      <c r="M2" s="426" t="s">
        <v>1686</v>
      </c>
    </row>
    <row r="3" spans="1:13" x14ac:dyDescent="0.25">
      <c r="A3" s="427"/>
      <c r="B3" s="287"/>
      <c r="C3" s="288"/>
      <c r="D3" s="369"/>
      <c r="E3" s="285"/>
      <c r="F3" s="285"/>
      <c r="G3" s="285"/>
      <c r="H3" s="428"/>
      <c r="I3" s="369"/>
      <c r="J3" s="369"/>
      <c r="K3" s="369"/>
      <c r="L3" s="288"/>
      <c r="M3" s="434"/>
    </row>
    <row r="4" spans="1:13" x14ac:dyDescent="0.25">
      <c r="A4" s="427" t="s">
        <v>1298</v>
      </c>
      <c r="B4" s="287" t="s">
        <v>1181</v>
      </c>
      <c r="C4" s="292">
        <v>21632.34</v>
      </c>
      <c r="D4" s="369">
        <f>SUM(C4*1.03)</f>
        <v>22281.3102</v>
      </c>
      <c r="E4" s="428">
        <v>11513.12</v>
      </c>
      <c r="F4" s="288">
        <v>22949.75</v>
      </c>
      <c r="G4" s="288">
        <v>26111</v>
      </c>
      <c r="H4" s="288"/>
      <c r="I4" s="429">
        <v>29111</v>
      </c>
      <c r="J4" s="429">
        <v>29111</v>
      </c>
      <c r="K4" s="429">
        <v>15115.27</v>
      </c>
      <c r="L4" s="288">
        <f t="shared" ref="L4:L6" si="0">SUM(J4)*1.03</f>
        <v>29984.33</v>
      </c>
      <c r="M4" s="288">
        <f>SUM(L4)*1.05</f>
        <v>31483.546500000004</v>
      </c>
    </row>
    <row r="5" spans="1:13" x14ac:dyDescent="0.25">
      <c r="A5" s="427" t="s">
        <v>1299</v>
      </c>
      <c r="B5" s="287" t="s">
        <v>1300</v>
      </c>
      <c r="C5" s="292">
        <v>27759.71</v>
      </c>
      <c r="D5" s="369">
        <f>SUM(C5*1.03)</f>
        <v>28592.5013</v>
      </c>
      <c r="E5" s="428">
        <v>12529.41</v>
      </c>
      <c r="F5" s="288">
        <v>29450.28</v>
      </c>
      <c r="G5" s="288">
        <v>32940</v>
      </c>
      <c r="H5" s="288"/>
      <c r="I5" s="429">
        <v>34440</v>
      </c>
      <c r="J5" s="429">
        <v>34440</v>
      </c>
      <c r="K5" s="429">
        <v>17107.2</v>
      </c>
      <c r="L5" s="288">
        <f t="shared" si="0"/>
        <v>35473.200000000004</v>
      </c>
      <c r="M5" s="288">
        <f>SUM(L5)*1.03</f>
        <v>36537.396000000008</v>
      </c>
    </row>
    <row r="6" spans="1:13" x14ac:dyDescent="0.25">
      <c r="A6" s="427" t="s">
        <v>1301</v>
      </c>
      <c r="B6" s="287" t="s">
        <v>1300</v>
      </c>
      <c r="C6" s="292">
        <v>27759.71</v>
      </c>
      <c r="D6" s="369">
        <f>SUM(C6*1.03)</f>
        <v>28592.5013</v>
      </c>
      <c r="E6" s="428">
        <v>14424</v>
      </c>
      <c r="F6" s="288">
        <v>29450.28</v>
      </c>
      <c r="G6" s="288">
        <v>32940</v>
      </c>
      <c r="H6" s="288"/>
      <c r="I6" s="429">
        <v>34440</v>
      </c>
      <c r="J6" s="429">
        <v>34440</v>
      </c>
      <c r="K6" s="429">
        <v>17107.2</v>
      </c>
      <c r="L6" s="288">
        <f t="shared" si="0"/>
        <v>35473.200000000004</v>
      </c>
      <c r="M6" s="288">
        <f>SUM(L6)*1.03</f>
        <v>36537.396000000008</v>
      </c>
    </row>
    <row r="7" spans="1:13" x14ac:dyDescent="0.25">
      <c r="A7" s="427" t="s">
        <v>1302</v>
      </c>
      <c r="B7" s="287" t="s">
        <v>218</v>
      </c>
      <c r="C7" s="292">
        <v>8400</v>
      </c>
      <c r="D7" s="369">
        <v>9000</v>
      </c>
      <c r="E7" s="428">
        <v>538.20000000000005</v>
      </c>
      <c r="F7" s="288">
        <v>9000</v>
      </c>
      <c r="G7" s="288">
        <v>9000</v>
      </c>
      <c r="H7" s="288"/>
      <c r="I7" s="369">
        <v>9000</v>
      </c>
      <c r="J7" s="369">
        <v>9000</v>
      </c>
      <c r="K7" s="369">
        <v>0</v>
      </c>
      <c r="L7" s="288">
        <v>9000</v>
      </c>
      <c r="M7" s="288">
        <v>9000</v>
      </c>
    </row>
    <row r="8" spans="1:13" x14ac:dyDescent="0.25">
      <c r="A8" s="427" t="s">
        <v>1303</v>
      </c>
      <c r="B8" s="287" t="s">
        <v>220</v>
      </c>
      <c r="C8" s="288">
        <v>2190</v>
      </c>
      <c r="D8" s="369">
        <v>985</v>
      </c>
      <c r="E8" s="428">
        <v>0</v>
      </c>
      <c r="F8" s="288">
        <v>985</v>
      </c>
      <c r="G8" s="288">
        <v>867.5</v>
      </c>
      <c r="H8" s="288"/>
      <c r="I8" s="369">
        <v>1207.5</v>
      </c>
      <c r="J8" s="369">
        <v>1207.5</v>
      </c>
      <c r="K8" s="369">
        <v>635</v>
      </c>
      <c r="L8" s="538">
        <v>1387.5</v>
      </c>
      <c r="M8" s="538">
        <v>1387.5</v>
      </c>
    </row>
    <row r="9" spans="1:13" x14ac:dyDescent="0.25">
      <c r="A9" s="427" t="s">
        <v>1304</v>
      </c>
      <c r="B9" s="287" t="s">
        <v>315</v>
      </c>
      <c r="C9" s="292">
        <v>2400</v>
      </c>
      <c r="D9" s="369">
        <v>2500</v>
      </c>
      <c r="E9" s="428">
        <v>939.86</v>
      </c>
      <c r="F9" s="288">
        <v>2500</v>
      </c>
      <c r="G9" s="288">
        <v>2500</v>
      </c>
      <c r="H9" s="288"/>
      <c r="I9" s="369">
        <v>2000</v>
      </c>
      <c r="J9" s="369">
        <v>2000</v>
      </c>
      <c r="K9" s="369">
        <v>1013.08</v>
      </c>
      <c r="L9" s="288">
        <v>2500</v>
      </c>
      <c r="M9" s="288">
        <v>2500</v>
      </c>
    </row>
    <row r="10" spans="1:13" x14ac:dyDescent="0.25">
      <c r="A10" s="427" t="s">
        <v>1305</v>
      </c>
      <c r="B10" s="287" t="s">
        <v>228</v>
      </c>
      <c r="C10" s="288">
        <f>+SUM($C$4:$C$8)*0.129</f>
        <v>11318.687040000001</v>
      </c>
      <c r="D10" s="369">
        <f>SUM(D$4:D$8)*0.12</f>
        <v>10734.157535999999</v>
      </c>
      <c r="E10" s="428">
        <v>4669.45</v>
      </c>
      <c r="F10" s="288">
        <f>SUM(F$4:F$8)*0.12</f>
        <v>11020.2372</v>
      </c>
      <c r="G10" s="288">
        <v>11571.13</v>
      </c>
      <c r="H10" s="288"/>
      <c r="I10" s="369">
        <f>SUM(I$4:I$8)*0.099</f>
        <v>10711.6515</v>
      </c>
      <c r="J10" s="369">
        <f>SUM(J$4:J$8)*0.099</f>
        <v>10711.6515</v>
      </c>
      <c r="K10" s="369">
        <v>5806.41</v>
      </c>
      <c r="L10" s="288">
        <f>SUM(L$4:L$8)*0.095</f>
        <v>10575.231850000002</v>
      </c>
      <c r="M10" s="288">
        <f>SUM(M$4:M$8)*0.095</f>
        <v>10919.854657500002</v>
      </c>
    </row>
    <row r="11" spans="1:13" x14ac:dyDescent="0.25">
      <c r="A11" s="427" t="s">
        <v>1306</v>
      </c>
      <c r="B11" s="287" t="s">
        <v>230</v>
      </c>
      <c r="C11" s="288">
        <f>+SUM($C$4:$C$8)*0.0145</f>
        <v>1272.2555200000002</v>
      </c>
      <c r="D11" s="369">
        <f>SUM(D$4:D$8)*0.0145</f>
        <v>1297.0440356000001</v>
      </c>
      <c r="E11" s="428">
        <v>618.65</v>
      </c>
      <c r="F11" s="288">
        <f>SUM(F$4:F$8)*0.0145</f>
        <v>1331.611995</v>
      </c>
      <c r="G11" s="288">
        <v>1476.95</v>
      </c>
      <c r="H11" s="288"/>
      <c r="I11" s="369">
        <f>SUM(I$4:I$8)*0.0145</f>
        <v>1568.87825</v>
      </c>
      <c r="J11" s="369">
        <f>SUM(J$4:J$8)*0.0145</f>
        <v>1568.87825</v>
      </c>
      <c r="K11" s="369">
        <v>829.15</v>
      </c>
      <c r="L11" s="288">
        <f>SUM(L$4:L$8)*0.0145</f>
        <v>1614.1143350000002</v>
      </c>
      <c r="M11" s="288">
        <f>SUM(M$4:M$8)*0.0145</f>
        <v>1666.7146582500002</v>
      </c>
    </row>
    <row r="12" spans="1:13" x14ac:dyDescent="0.25">
      <c r="A12" s="427" t="s">
        <v>1307</v>
      </c>
      <c r="B12" s="287" t="s">
        <v>232</v>
      </c>
      <c r="C12" s="288">
        <f>+SUM($C$4:$C$8)*0.062</f>
        <v>5439.9891200000002</v>
      </c>
      <c r="D12" s="369">
        <f>SUM(D$4:D$8)*0.062</f>
        <v>5545.9813936</v>
      </c>
      <c r="E12" s="428">
        <v>2645.21</v>
      </c>
      <c r="F12" s="288">
        <f>SUM(F$4:F$8)*0.062</f>
        <v>5693.7892199999997</v>
      </c>
      <c r="G12" s="288">
        <v>6315.23</v>
      </c>
      <c r="H12" s="288"/>
      <c r="I12" s="369" cm="1">
        <f t="array" ref="I12">SUM(I$4:I$8*0.062)</f>
        <v>6708.3070000000007</v>
      </c>
      <c r="J12" s="369" cm="1">
        <f t="array" ref="J12">SUM(J$4:J$8*0.062)</f>
        <v>6708.3070000000007</v>
      </c>
      <c r="K12" s="369">
        <v>3545.3</v>
      </c>
      <c r="L12" s="288">
        <f>SUM(L$4:L$8)*0.062</f>
        <v>6901.7302600000003</v>
      </c>
      <c r="M12" s="288">
        <f>SUM(M$4:M$8)*0.062</f>
        <v>7126.6419870000009</v>
      </c>
    </row>
    <row r="13" spans="1:13" x14ac:dyDescent="0.25">
      <c r="A13" s="427" t="s">
        <v>1308</v>
      </c>
      <c r="B13" s="287" t="s">
        <v>234</v>
      </c>
      <c r="C13" s="288">
        <v>25462.563840000003</v>
      </c>
      <c r="D13" s="369">
        <f>+SUM(9149.55*3)</f>
        <v>27448.649999999998</v>
      </c>
      <c r="E13" s="428">
        <v>12397.76</v>
      </c>
      <c r="F13" s="288">
        <v>27895.439999999999</v>
      </c>
      <c r="G13" s="288">
        <v>31890</v>
      </c>
      <c r="H13" s="288">
        <v>33917.040000000001</v>
      </c>
      <c r="I13" s="369">
        <v>33917.040000000001</v>
      </c>
      <c r="J13" s="369">
        <v>33917.040000000001</v>
      </c>
      <c r="K13" s="369">
        <v>18371.73</v>
      </c>
      <c r="L13" s="288">
        <v>36324</v>
      </c>
      <c r="M13" s="288">
        <v>38286.720000000001</v>
      </c>
    </row>
    <row r="14" spans="1:13" x14ac:dyDescent="0.25">
      <c r="A14" s="427" t="s">
        <v>1610</v>
      </c>
      <c r="B14" s="287" t="s">
        <v>1571</v>
      </c>
      <c r="C14" s="288"/>
      <c r="D14" s="369"/>
      <c r="E14" s="428"/>
      <c r="F14" s="288"/>
      <c r="G14" s="288"/>
      <c r="H14" s="288"/>
      <c r="I14" s="369">
        <v>0</v>
      </c>
      <c r="J14" s="369"/>
      <c r="K14" s="369">
        <v>1555.2</v>
      </c>
      <c r="L14" s="288"/>
      <c r="M14" s="288"/>
    </row>
    <row r="15" spans="1:13" x14ac:dyDescent="0.25">
      <c r="A15" s="427" t="s">
        <v>1309</v>
      </c>
      <c r="B15" s="287" t="s">
        <v>238</v>
      </c>
      <c r="C15" s="387">
        <v>4800</v>
      </c>
      <c r="D15" s="388">
        <v>4800</v>
      </c>
      <c r="E15" s="428">
        <v>2408</v>
      </c>
      <c r="F15" s="387">
        <v>4800</v>
      </c>
      <c r="G15" s="387">
        <v>4800</v>
      </c>
      <c r="H15" s="387">
        <v>4800</v>
      </c>
      <c r="I15" s="388">
        <v>4800</v>
      </c>
      <c r="J15" s="388">
        <v>4800</v>
      </c>
      <c r="K15" s="388">
        <v>2584.6799999999998</v>
      </c>
      <c r="L15" s="387">
        <v>4800</v>
      </c>
      <c r="M15" s="387">
        <v>4800</v>
      </c>
    </row>
    <row r="16" spans="1:13" x14ac:dyDescent="0.25">
      <c r="A16" s="427" t="s">
        <v>1310</v>
      </c>
      <c r="B16" s="287" t="s">
        <v>1120</v>
      </c>
      <c r="C16" s="387">
        <v>28000</v>
      </c>
      <c r="D16" s="388">
        <v>28000</v>
      </c>
      <c r="E16" s="428">
        <v>5383.1</v>
      </c>
      <c r="F16" s="387">
        <v>28000</v>
      </c>
      <c r="G16" s="387">
        <v>28000</v>
      </c>
      <c r="H16" s="387">
        <v>28000</v>
      </c>
      <c r="I16" s="388">
        <v>28000</v>
      </c>
      <c r="J16" s="388">
        <v>28000</v>
      </c>
      <c r="K16" s="388">
        <v>16261.83</v>
      </c>
      <c r="L16" s="387">
        <v>30000</v>
      </c>
      <c r="M16" s="387">
        <v>30000</v>
      </c>
    </row>
    <row r="17" spans="1:15" x14ac:dyDescent="0.25">
      <c r="A17" s="427" t="s">
        <v>1311</v>
      </c>
      <c r="B17" s="287" t="s">
        <v>1077</v>
      </c>
      <c r="C17" s="387">
        <v>100</v>
      </c>
      <c r="D17" s="388">
        <v>100</v>
      </c>
      <c r="E17" s="428">
        <v>0</v>
      </c>
      <c r="F17" s="387">
        <v>100</v>
      </c>
      <c r="G17" s="387">
        <v>1000</v>
      </c>
      <c r="H17" s="387">
        <v>1500</v>
      </c>
      <c r="I17" s="388">
        <v>1500</v>
      </c>
      <c r="J17" s="388">
        <v>1500</v>
      </c>
      <c r="K17" s="388">
        <v>0</v>
      </c>
      <c r="L17" s="387">
        <v>1500</v>
      </c>
      <c r="M17" s="387">
        <v>1500</v>
      </c>
    </row>
    <row r="18" spans="1:15" x14ac:dyDescent="0.25">
      <c r="A18" s="427" t="s">
        <v>1312</v>
      </c>
      <c r="B18" s="287" t="s">
        <v>1079</v>
      </c>
      <c r="C18" s="387">
        <v>4000</v>
      </c>
      <c r="D18" s="388">
        <v>4000</v>
      </c>
      <c r="E18" s="428">
        <v>2174.98</v>
      </c>
      <c r="F18" s="387">
        <v>4000</v>
      </c>
      <c r="G18" s="387">
        <v>8000</v>
      </c>
      <c r="H18" s="387">
        <v>8000</v>
      </c>
      <c r="I18" s="388">
        <v>8000</v>
      </c>
      <c r="J18" s="388">
        <v>8000</v>
      </c>
      <c r="K18" s="388">
        <v>2316</v>
      </c>
      <c r="L18" s="387">
        <v>8000</v>
      </c>
      <c r="M18" s="387">
        <v>8000</v>
      </c>
    </row>
    <row r="19" spans="1:15" x14ac:dyDescent="0.25">
      <c r="A19" s="427" t="s">
        <v>1313</v>
      </c>
      <c r="B19" s="287" t="s">
        <v>248</v>
      </c>
      <c r="C19" s="387">
        <v>200</v>
      </c>
      <c r="D19" s="388">
        <v>200</v>
      </c>
      <c r="E19" s="428">
        <v>0</v>
      </c>
      <c r="F19" s="387">
        <v>200</v>
      </c>
      <c r="G19" s="387">
        <v>200</v>
      </c>
      <c r="H19" s="387">
        <v>200</v>
      </c>
      <c r="I19" s="388">
        <v>200</v>
      </c>
      <c r="J19" s="388">
        <v>200</v>
      </c>
      <c r="K19" s="388">
        <v>177.5</v>
      </c>
      <c r="L19" s="387">
        <v>200</v>
      </c>
      <c r="M19" s="387">
        <v>200</v>
      </c>
    </row>
    <row r="20" spans="1:15" x14ac:dyDescent="0.25">
      <c r="A20" s="427" t="s">
        <v>1314</v>
      </c>
      <c r="B20" s="287" t="s">
        <v>250</v>
      </c>
      <c r="C20" s="387">
        <v>1500</v>
      </c>
      <c r="D20" s="388">
        <v>1500</v>
      </c>
      <c r="E20" s="428">
        <v>751.25</v>
      </c>
      <c r="F20" s="387">
        <v>1500</v>
      </c>
      <c r="G20" s="387">
        <v>2000</v>
      </c>
      <c r="H20" s="387">
        <v>2000</v>
      </c>
      <c r="I20" s="388">
        <v>2000</v>
      </c>
      <c r="J20" s="388">
        <v>2000</v>
      </c>
      <c r="K20" s="388">
        <v>367.96</v>
      </c>
      <c r="L20" s="387">
        <v>2000</v>
      </c>
      <c r="M20" s="387">
        <v>2000</v>
      </c>
    </row>
    <row r="21" spans="1:15" x14ac:dyDescent="0.25">
      <c r="A21" s="427" t="s">
        <v>1315</v>
      </c>
      <c r="B21" s="287" t="s">
        <v>599</v>
      </c>
      <c r="C21" s="387">
        <v>1200</v>
      </c>
      <c r="D21" s="388">
        <v>1200</v>
      </c>
      <c r="E21" s="428">
        <v>575</v>
      </c>
      <c r="F21" s="387">
        <v>1200</v>
      </c>
      <c r="G21" s="387">
        <v>1200</v>
      </c>
      <c r="H21" s="387">
        <v>1200</v>
      </c>
      <c r="I21" s="388">
        <v>1200</v>
      </c>
      <c r="J21" s="388">
        <v>1200</v>
      </c>
      <c r="K21" s="388">
        <v>650</v>
      </c>
      <c r="L21" s="387">
        <v>1200</v>
      </c>
      <c r="M21" s="387">
        <v>1200</v>
      </c>
    </row>
    <row r="22" spans="1:15" x14ac:dyDescent="0.25">
      <c r="A22" s="427" t="s">
        <v>1487</v>
      </c>
      <c r="B22" s="287" t="s">
        <v>651</v>
      </c>
      <c r="C22" s="387"/>
      <c r="D22" s="388"/>
      <c r="E22" s="428"/>
      <c r="F22" s="387"/>
      <c r="G22" s="387">
        <v>3500</v>
      </c>
      <c r="H22" s="387">
        <v>3500</v>
      </c>
      <c r="I22" s="388">
        <v>3500</v>
      </c>
      <c r="J22" s="388">
        <v>3500</v>
      </c>
      <c r="K22" s="388">
        <v>1516.28</v>
      </c>
      <c r="L22" s="387">
        <v>4000</v>
      </c>
      <c r="M22" s="387">
        <v>4000</v>
      </c>
    </row>
    <row r="23" spans="1:15" x14ac:dyDescent="0.25">
      <c r="A23" s="427" t="s">
        <v>1316</v>
      </c>
      <c r="B23" s="287" t="s">
        <v>1126</v>
      </c>
      <c r="C23" s="387">
        <v>3000</v>
      </c>
      <c r="D23" s="388">
        <v>3000</v>
      </c>
      <c r="E23" s="428">
        <v>7.5</v>
      </c>
      <c r="F23" s="387">
        <v>3000</v>
      </c>
      <c r="G23" s="387">
        <v>5000</v>
      </c>
      <c r="H23" s="387">
        <v>5000</v>
      </c>
      <c r="I23" s="388">
        <v>5000</v>
      </c>
      <c r="J23" s="388">
        <v>5000</v>
      </c>
      <c r="K23" s="388">
        <v>180.74</v>
      </c>
      <c r="L23" s="387">
        <v>5000</v>
      </c>
      <c r="M23" s="387">
        <v>5000</v>
      </c>
    </row>
    <row r="24" spans="1:15" x14ac:dyDescent="0.25">
      <c r="A24" s="427" t="s">
        <v>1317</v>
      </c>
      <c r="B24" s="287" t="s">
        <v>1200</v>
      </c>
      <c r="C24" s="387">
        <v>600</v>
      </c>
      <c r="D24" s="388">
        <v>600</v>
      </c>
      <c r="E24" s="428">
        <v>600</v>
      </c>
      <c r="F24" s="387">
        <v>600</v>
      </c>
      <c r="G24" s="387">
        <v>600</v>
      </c>
      <c r="H24" s="387">
        <v>600</v>
      </c>
      <c r="I24" s="388">
        <v>600</v>
      </c>
      <c r="J24" s="388">
        <v>600</v>
      </c>
      <c r="K24" s="388">
        <v>0</v>
      </c>
      <c r="L24" s="387">
        <v>600</v>
      </c>
      <c r="M24" s="387">
        <v>600</v>
      </c>
    </row>
    <row r="25" spans="1:15" x14ac:dyDescent="0.25">
      <c r="A25" s="427" t="s">
        <v>1318</v>
      </c>
      <c r="B25" s="287" t="s">
        <v>1202</v>
      </c>
      <c r="C25" s="387">
        <v>3000</v>
      </c>
      <c r="D25" s="388">
        <v>3000</v>
      </c>
      <c r="E25" s="428">
        <v>0</v>
      </c>
      <c r="F25" s="387">
        <v>3000</v>
      </c>
      <c r="G25" s="387">
        <v>5000</v>
      </c>
      <c r="H25" s="428">
        <v>5000</v>
      </c>
      <c r="I25" s="429">
        <v>5000</v>
      </c>
      <c r="J25" s="429">
        <v>5000</v>
      </c>
      <c r="K25" s="429">
        <v>2296.8000000000002</v>
      </c>
      <c r="L25" s="428">
        <v>5000</v>
      </c>
      <c r="M25" s="428">
        <v>5000</v>
      </c>
    </row>
    <row r="26" spans="1:15" x14ac:dyDescent="0.25">
      <c r="A26" s="427" t="s">
        <v>1319</v>
      </c>
      <c r="B26" s="287" t="s">
        <v>1320</v>
      </c>
      <c r="C26" s="387">
        <v>3000</v>
      </c>
      <c r="D26" s="388">
        <v>3000</v>
      </c>
      <c r="E26" s="428">
        <v>1750</v>
      </c>
      <c r="F26" s="387">
        <v>3000</v>
      </c>
      <c r="G26" s="387">
        <v>6500</v>
      </c>
      <c r="H26" s="387">
        <v>6500</v>
      </c>
      <c r="I26" s="388">
        <v>6500</v>
      </c>
      <c r="J26" s="388">
        <v>6500</v>
      </c>
      <c r="K26" s="388">
        <v>0</v>
      </c>
      <c r="L26" s="387">
        <v>6500</v>
      </c>
      <c r="M26" s="387">
        <v>7000</v>
      </c>
      <c r="N26" s="540"/>
      <c r="O26" s="541"/>
    </row>
    <row r="27" spans="1:15" x14ac:dyDescent="0.25">
      <c r="A27" s="427" t="s">
        <v>1321</v>
      </c>
      <c r="B27" s="287" t="s">
        <v>1204</v>
      </c>
      <c r="C27" s="387">
        <v>8000</v>
      </c>
      <c r="D27" s="388">
        <v>8000</v>
      </c>
      <c r="E27" s="428">
        <v>17744.13</v>
      </c>
      <c r="F27" s="387">
        <v>8000</v>
      </c>
      <c r="G27" s="387">
        <v>10000</v>
      </c>
      <c r="H27" s="387">
        <v>10000</v>
      </c>
      <c r="I27" s="388">
        <v>10000</v>
      </c>
      <c r="J27" s="388">
        <v>10000</v>
      </c>
      <c r="K27" s="388">
        <v>3216.41</v>
      </c>
      <c r="L27" s="387">
        <v>10000</v>
      </c>
      <c r="M27" s="387">
        <v>10000</v>
      </c>
    </row>
    <row r="28" spans="1:15" x14ac:dyDescent="0.25">
      <c r="A28" s="427" t="s">
        <v>1322</v>
      </c>
      <c r="B28" s="287" t="s">
        <v>1206</v>
      </c>
      <c r="C28" s="387">
        <v>8000</v>
      </c>
      <c r="D28" s="388">
        <v>8000</v>
      </c>
      <c r="E28" s="428">
        <v>0</v>
      </c>
      <c r="F28" s="387">
        <v>8000</v>
      </c>
      <c r="G28" s="387">
        <v>14500</v>
      </c>
      <c r="H28" s="387">
        <v>14500</v>
      </c>
      <c r="I28" s="388">
        <v>14500</v>
      </c>
      <c r="J28" s="388">
        <v>14500</v>
      </c>
      <c r="K28" s="388">
        <v>3350</v>
      </c>
      <c r="L28" s="387">
        <v>14500</v>
      </c>
      <c r="M28" s="387">
        <v>14000</v>
      </c>
    </row>
    <row r="29" spans="1:15" x14ac:dyDescent="0.25">
      <c r="A29" s="427" t="s">
        <v>1323</v>
      </c>
      <c r="B29" s="287" t="s">
        <v>1208</v>
      </c>
      <c r="C29" s="387">
        <v>6000</v>
      </c>
      <c r="D29" s="388">
        <v>6000</v>
      </c>
      <c r="E29" s="428">
        <v>0</v>
      </c>
      <c r="F29" s="387">
        <v>6000</v>
      </c>
      <c r="G29" s="387">
        <v>4000</v>
      </c>
      <c r="H29" s="387">
        <v>4000</v>
      </c>
      <c r="I29" s="388">
        <v>4000</v>
      </c>
      <c r="J29" s="388">
        <v>4000</v>
      </c>
      <c r="K29" s="388">
        <v>0</v>
      </c>
      <c r="L29" s="387">
        <v>4000</v>
      </c>
      <c r="M29" s="387">
        <v>4000</v>
      </c>
    </row>
    <row r="30" spans="1:15" x14ac:dyDescent="0.25">
      <c r="A30" s="427" t="s">
        <v>1324</v>
      </c>
      <c r="B30" s="287" t="s">
        <v>258</v>
      </c>
      <c r="C30" s="387">
        <v>1500</v>
      </c>
      <c r="D30" s="388">
        <v>1500</v>
      </c>
      <c r="E30" s="428">
        <v>193.59</v>
      </c>
      <c r="F30" s="387">
        <v>1500</v>
      </c>
      <c r="G30" s="387">
        <v>2000</v>
      </c>
      <c r="H30" s="387">
        <v>2000</v>
      </c>
      <c r="I30" s="388">
        <v>2000</v>
      </c>
      <c r="J30" s="388">
        <v>2000</v>
      </c>
      <c r="K30" s="388">
        <v>155</v>
      </c>
      <c r="L30" s="387">
        <v>2000</v>
      </c>
      <c r="M30" s="387">
        <v>3000</v>
      </c>
    </row>
    <row r="31" spans="1:15" x14ac:dyDescent="0.25">
      <c r="A31" s="427" t="s">
        <v>1325</v>
      </c>
      <c r="B31" s="287" t="s">
        <v>900</v>
      </c>
      <c r="C31" s="288">
        <v>254094.53</v>
      </c>
      <c r="D31" s="369">
        <v>175390.07999999999</v>
      </c>
      <c r="E31" s="428">
        <v>0</v>
      </c>
      <c r="F31" s="288">
        <v>167032.88</v>
      </c>
      <c r="G31" s="288">
        <v>28606.86</v>
      </c>
      <c r="H31" s="428">
        <v>28606</v>
      </c>
      <c r="I31" s="429">
        <v>60697.25</v>
      </c>
      <c r="J31" s="429">
        <v>60697.25</v>
      </c>
      <c r="K31" s="429">
        <v>0</v>
      </c>
      <c r="L31" s="539">
        <v>108663.28</v>
      </c>
      <c r="M31" s="539">
        <v>39867.279999999999</v>
      </c>
    </row>
    <row r="32" spans="1:15" x14ac:dyDescent="0.25">
      <c r="A32" s="427" t="s">
        <v>1326</v>
      </c>
      <c r="B32" s="287" t="s">
        <v>1389</v>
      </c>
      <c r="C32" s="292">
        <v>24388.14</v>
      </c>
      <c r="D32" s="368">
        <v>33455.82</v>
      </c>
      <c r="E32" s="428">
        <v>34334.5</v>
      </c>
      <c r="F32" s="292">
        <v>66000</v>
      </c>
      <c r="G32" s="292">
        <v>82282</v>
      </c>
      <c r="H32" s="428">
        <v>82282</v>
      </c>
      <c r="I32" s="429">
        <v>82282</v>
      </c>
      <c r="J32" s="429">
        <v>82282</v>
      </c>
      <c r="K32" s="429">
        <v>0</v>
      </c>
      <c r="L32" s="428">
        <v>82282</v>
      </c>
      <c r="M32" s="428">
        <v>78141</v>
      </c>
    </row>
    <row r="33" spans="1:13" x14ac:dyDescent="0.25">
      <c r="A33" s="427" t="s">
        <v>1327</v>
      </c>
      <c r="B33" s="287" t="s">
        <v>1328</v>
      </c>
      <c r="C33" s="387">
        <v>710.43</v>
      </c>
      <c r="D33" s="388"/>
      <c r="E33" s="428">
        <v>0</v>
      </c>
      <c r="F33" s="387"/>
      <c r="G33" s="387">
        <v>0</v>
      </c>
      <c r="H33" s="387"/>
      <c r="I33" s="388"/>
      <c r="J33" s="388"/>
      <c r="K33" s="388">
        <v>0</v>
      </c>
      <c r="L33" s="387"/>
      <c r="M33" s="434"/>
    </row>
    <row r="34" spans="1:13" ht="16.899999999999999" customHeight="1" x14ac:dyDescent="0.25">
      <c r="A34" s="427" t="s">
        <v>1329</v>
      </c>
      <c r="B34" s="287" t="s">
        <v>129</v>
      </c>
      <c r="C34" s="387">
        <v>750</v>
      </c>
      <c r="D34" s="388">
        <v>3364.46</v>
      </c>
      <c r="E34" s="428">
        <v>2485.7800000000002</v>
      </c>
      <c r="F34" s="387">
        <v>3364.46</v>
      </c>
      <c r="G34" s="387">
        <v>0</v>
      </c>
      <c r="H34" s="387"/>
      <c r="I34" s="388"/>
      <c r="J34" s="388"/>
      <c r="K34" s="388">
        <v>0</v>
      </c>
      <c r="L34" s="387"/>
      <c r="M34" s="434"/>
    </row>
    <row r="35" spans="1:13" x14ac:dyDescent="0.25">
      <c r="A35" s="427" t="s">
        <v>1330</v>
      </c>
      <c r="B35" s="287" t="s">
        <v>1381</v>
      </c>
      <c r="C35" s="387">
        <v>1000</v>
      </c>
      <c r="D35" s="388">
        <v>1000</v>
      </c>
      <c r="E35" s="428">
        <v>0</v>
      </c>
      <c r="F35" s="387">
        <v>7000</v>
      </c>
      <c r="G35" s="387">
        <v>8300</v>
      </c>
      <c r="H35" s="387">
        <v>8300</v>
      </c>
      <c r="I35" s="388">
        <v>8300</v>
      </c>
      <c r="J35" s="388">
        <v>8300</v>
      </c>
      <c r="K35" s="388">
        <v>0</v>
      </c>
      <c r="L35" s="387">
        <v>11325</v>
      </c>
      <c r="M35" s="575">
        <v>11324.5</v>
      </c>
    </row>
    <row r="36" spans="1:13" x14ac:dyDescent="0.25">
      <c r="A36" s="427" t="s">
        <v>1331</v>
      </c>
      <c r="B36" s="287" t="s">
        <v>1214</v>
      </c>
      <c r="C36" s="387">
        <v>6667.1</v>
      </c>
      <c r="D36" s="388">
        <v>6451.37</v>
      </c>
      <c r="E36" s="428">
        <v>6395.11</v>
      </c>
      <c r="F36" s="387">
        <v>6451.37</v>
      </c>
      <c r="G36" s="387">
        <v>6451.37</v>
      </c>
      <c r="H36" s="387">
        <v>6451.37</v>
      </c>
      <c r="I36" s="388">
        <v>6451.37</v>
      </c>
      <c r="J36" s="388">
        <v>6451.37</v>
      </c>
      <c r="K36" s="388">
        <v>6451.37</v>
      </c>
      <c r="L36" s="387">
        <v>6451.37</v>
      </c>
      <c r="M36" s="575">
        <v>6451.37</v>
      </c>
    </row>
    <row r="37" spans="1:13" hidden="1" x14ac:dyDescent="0.25">
      <c r="A37" s="427" t="s">
        <v>1332</v>
      </c>
      <c r="B37" s="287" t="s">
        <v>1261</v>
      </c>
      <c r="C37" s="387">
        <v>9000</v>
      </c>
      <c r="D37" s="388">
        <v>0</v>
      </c>
      <c r="E37" s="428">
        <v>0</v>
      </c>
      <c r="F37" s="288"/>
      <c r="G37" s="288"/>
      <c r="H37" s="428"/>
      <c r="I37" s="429"/>
      <c r="J37" s="429"/>
      <c r="K37" s="429"/>
      <c r="L37" s="428"/>
      <c r="M37" s="575"/>
    </row>
    <row r="38" spans="1:13" hidden="1" x14ac:dyDescent="0.25">
      <c r="A38" s="427" t="s">
        <v>1333</v>
      </c>
      <c r="B38" s="287" t="s">
        <v>159</v>
      </c>
      <c r="C38" s="292"/>
      <c r="D38" s="368"/>
      <c r="E38" s="428">
        <v>0</v>
      </c>
      <c r="F38" s="288"/>
      <c r="G38" s="288"/>
      <c r="H38" s="428"/>
      <c r="I38" s="429"/>
      <c r="J38" s="429"/>
      <c r="K38" s="429"/>
      <c r="L38" s="428"/>
      <c r="M38" s="575"/>
    </row>
    <row r="39" spans="1:13" x14ac:dyDescent="0.25">
      <c r="A39" s="427" t="s">
        <v>1332</v>
      </c>
      <c r="B39" s="287" t="s">
        <v>1541</v>
      </c>
      <c r="C39" s="292"/>
      <c r="D39" s="368"/>
      <c r="E39" s="428"/>
      <c r="F39" s="288"/>
      <c r="G39" s="288">
        <v>0</v>
      </c>
      <c r="H39" s="428">
        <v>18000</v>
      </c>
      <c r="I39" s="429">
        <v>18000</v>
      </c>
      <c r="J39" s="429">
        <v>18000</v>
      </c>
      <c r="K39" s="429">
        <v>10000</v>
      </c>
      <c r="L39" s="428">
        <v>8957</v>
      </c>
      <c r="M39" s="575">
        <v>8957.5</v>
      </c>
    </row>
    <row r="40" spans="1:13" x14ac:dyDescent="0.25">
      <c r="A40" s="427" t="s">
        <v>1334</v>
      </c>
      <c r="B40" s="287" t="s">
        <v>1335</v>
      </c>
      <c r="C40" s="292"/>
      <c r="D40" s="368"/>
      <c r="E40" s="428">
        <v>0</v>
      </c>
      <c r="F40" s="288"/>
      <c r="G40" s="288">
        <v>0</v>
      </c>
      <c r="H40" s="428"/>
      <c r="I40" s="429"/>
      <c r="J40" s="429"/>
      <c r="K40" s="429">
        <v>0</v>
      </c>
      <c r="L40" s="428"/>
      <c r="M40" s="575"/>
    </row>
    <row r="41" spans="1:13" hidden="1" x14ac:dyDescent="0.25">
      <c r="A41" s="427" t="s">
        <v>1336</v>
      </c>
      <c r="B41" s="287" t="s">
        <v>1335</v>
      </c>
      <c r="C41" s="292">
        <v>0</v>
      </c>
      <c r="D41" s="368">
        <v>0</v>
      </c>
      <c r="E41" s="428">
        <v>0</v>
      </c>
      <c r="F41" s="288"/>
      <c r="G41" s="288"/>
      <c r="H41" s="428"/>
      <c r="I41" s="429"/>
      <c r="J41" s="429"/>
      <c r="K41" s="429"/>
      <c r="L41" s="428"/>
      <c r="M41" s="575"/>
    </row>
    <row r="42" spans="1:13" hidden="1" x14ac:dyDescent="0.25">
      <c r="A42" s="427" t="s">
        <v>1337</v>
      </c>
      <c r="B42" s="287" t="s">
        <v>1335</v>
      </c>
      <c r="C42" s="355"/>
      <c r="D42" s="430"/>
      <c r="E42" s="428">
        <v>0</v>
      </c>
      <c r="F42" s="288"/>
      <c r="G42" s="288"/>
      <c r="H42" s="428"/>
      <c r="I42" s="429"/>
      <c r="J42" s="429"/>
      <c r="K42" s="429"/>
      <c r="L42" s="428"/>
      <c r="M42" s="575"/>
    </row>
    <row r="43" spans="1:13" x14ac:dyDescent="0.25">
      <c r="A43" s="427" t="s">
        <v>1393</v>
      </c>
      <c r="B43" s="287" t="s">
        <v>1380</v>
      </c>
      <c r="C43" s="355"/>
      <c r="D43" s="430"/>
      <c r="E43" s="428"/>
      <c r="F43" s="288"/>
      <c r="G43" s="288">
        <v>0</v>
      </c>
      <c r="H43" s="428"/>
      <c r="I43" s="429"/>
      <c r="J43" s="429"/>
      <c r="K43" s="429">
        <v>0</v>
      </c>
      <c r="L43" s="428"/>
      <c r="M43" s="569">
        <v>100000</v>
      </c>
    </row>
    <row r="44" spans="1:13" x14ac:dyDescent="0.25">
      <c r="A44" s="427"/>
      <c r="B44" s="287" t="s">
        <v>1652</v>
      </c>
      <c r="C44" s="355"/>
      <c r="D44" s="430"/>
      <c r="E44" s="428"/>
      <c r="F44" s="288"/>
      <c r="G44" s="288">
        <v>2000</v>
      </c>
      <c r="H44" s="288"/>
      <c r="I44" s="369"/>
      <c r="J44" s="369"/>
      <c r="K44" s="369">
        <v>0</v>
      </c>
      <c r="L44" s="288"/>
      <c r="M44" s="576">
        <v>5833</v>
      </c>
    </row>
    <row r="45" spans="1:13" x14ac:dyDescent="0.25">
      <c r="A45" s="281"/>
      <c r="B45" s="294" t="s">
        <v>169</v>
      </c>
      <c r="C45" s="431">
        <f>SUM(C4:C42)</f>
        <v>503145.45552000002</v>
      </c>
      <c r="D45" s="432">
        <f>SUM(D4:D42)</f>
        <v>429538.87576520001</v>
      </c>
      <c r="E45" s="416">
        <f>SUM(E4:E42)</f>
        <v>135078.59999999998</v>
      </c>
      <c r="F45" s="416">
        <f>SUM(F4:F42)</f>
        <v>463025.09841500001</v>
      </c>
      <c r="G45" s="416">
        <f t="shared" ref="G45:M45" si="1">SUM(G4:G44)</f>
        <v>379552.04</v>
      </c>
      <c r="H45" s="416">
        <f t="shared" si="1"/>
        <v>274356.41000000003</v>
      </c>
      <c r="I45" s="433">
        <f t="shared" si="1"/>
        <v>435634.99674999999</v>
      </c>
      <c r="J45" s="433">
        <f t="shared" si="1"/>
        <v>435634.99674999999</v>
      </c>
      <c r="K45" s="433">
        <f t="shared" si="1"/>
        <v>130610.11000000002</v>
      </c>
      <c r="L45" s="416">
        <f t="shared" si="1"/>
        <v>486211.95644500002</v>
      </c>
      <c r="M45" s="593">
        <f t="shared" si="1"/>
        <v>526320.41980275</v>
      </c>
    </row>
    <row r="46" spans="1:13" ht="15.75" x14ac:dyDescent="0.25">
      <c r="A46" s="427"/>
      <c r="B46" s="293"/>
      <c r="C46" s="288"/>
      <c r="D46" s="369"/>
      <c r="E46" s="428"/>
      <c r="F46" s="428"/>
      <c r="G46" s="285"/>
      <c r="H46" s="428"/>
      <c r="I46" s="369"/>
      <c r="J46" s="285"/>
      <c r="K46" s="285"/>
      <c r="L46" s="530"/>
      <c r="M46" s="434"/>
    </row>
    <row r="47" spans="1:13" x14ac:dyDescent="0.25">
      <c r="A47" s="427"/>
      <c r="B47" s="293"/>
      <c r="C47" s="288"/>
      <c r="D47" s="369"/>
      <c r="E47" s="428"/>
      <c r="F47" s="428"/>
      <c r="G47" s="285"/>
      <c r="H47" s="428"/>
      <c r="I47" s="62"/>
      <c r="J47" s="285"/>
      <c r="K47" s="285"/>
      <c r="L47" s="434"/>
      <c r="M47" s="434"/>
    </row>
    <row r="48" spans="1:13" x14ac:dyDescent="0.25">
      <c r="A48" s="427"/>
      <c r="B48" s="293"/>
      <c r="C48" s="288"/>
      <c r="D48" s="369"/>
      <c r="E48" s="428"/>
      <c r="F48" s="428"/>
      <c r="G48" s="285"/>
      <c r="H48" s="428"/>
      <c r="I48" s="435"/>
      <c r="J48" s="285"/>
      <c r="K48" s="285"/>
      <c r="L48" s="434"/>
      <c r="M48" s="434"/>
    </row>
    <row r="49" spans="1:13" x14ac:dyDescent="0.25">
      <c r="A49" s="436"/>
      <c r="B49" s="437"/>
      <c r="C49" s="438"/>
      <c r="D49" s="166"/>
      <c r="E49" s="439"/>
      <c r="F49" s="439"/>
      <c r="G49" s="434"/>
      <c r="H49" s="439"/>
      <c r="I49" s="62"/>
      <c r="J49" s="434"/>
      <c r="K49" s="434"/>
      <c r="L49" s="434"/>
      <c r="M49" s="434"/>
    </row>
  </sheetData>
  <phoneticPr fontId="24" type="noConversion"/>
  <pageMargins left="0.25" right="0.25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5:G19"/>
  <sheetViews>
    <sheetView workbookViewId="0">
      <selection activeCell="D8" sqref="D8:D9"/>
    </sheetView>
  </sheetViews>
  <sheetFormatPr defaultRowHeight="14.25" x14ac:dyDescent="0.2"/>
  <cols>
    <col min="1" max="1" width="8.75" style="60"/>
    <col min="2" max="2" width="20.5" style="60" customWidth="1"/>
    <col min="3" max="3" width="9.75" style="139" customWidth="1"/>
    <col min="4" max="4" width="17.375" style="59" customWidth="1"/>
    <col min="5" max="5" width="16.75" style="60" customWidth="1"/>
    <col min="6" max="6" width="3.75" style="60" customWidth="1"/>
    <col min="7" max="7" width="14" style="60" customWidth="1"/>
  </cols>
  <sheetData>
    <row r="5" spans="1:5" x14ac:dyDescent="0.2">
      <c r="A5" s="60" t="s">
        <v>1339</v>
      </c>
      <c r="C5" s="139" t="s">
        <v>1340</v>
      </c>
      <c r="D5" s="59" t="s">
        <v>1341</v>
      </c>
      <c r="E5" s="60" t="s">
        <v>1342</v>
      </c>
    </row>
    <row r="8" spans="1:5" x14ac:dyDescent="0.2">
      <c r="A8" s="60" t="s">
        <v>1341</v>
      </c>
      <c r="B8" s="60" t="s">
        <v>177</v>
      </c>
      <c r="C8" s="140">
        <v>0.71</v>
      </c>
      <c r="D8" s="59">
        <v>318692475</v>
      </c>
      <c r="E8" s="141">
        <f>SUM(D8/100)*(C8)</f>
        <v>2262716.5724999998</v>
      </c>
    </row>
    <row r="9" spans="1:5" x14ac:dyDescent="0.2">
      <c r="A9" s="60" t="s">
        <v>1341</v>
      </c>
      <c r="B9" s="60" t="s">
        <v>178</v>
      </c>
      <c r="C9" s="139">
        <v>0.08</v>
      </c>
      <c r="D9" s="59">
        <v>316770170</v>
      </c>
      <c r="E9" s="141">
        <f>SUM(D9/100)*(C9)</f>
        <v>253416.13600000003</v>
      </c>
    </row>
    <row r="10" spans="1:5" x14ac:dyDescent="0.2">
      <c r="C10" s="139">
        <f>SUM(C8:C9)</f>
        <v>0.78999999999999992</v>
      </c>
      <c r="E10" s="141">
        <f>SUM(E8:E9)</f>
        <v>2516132.7084999997</v>
      </c>
    </row>
    <row r="11" spans="1:5" x14ac:dyDescent="0.2">
      <c r="E11" s="141"/>
    </row>
    <row r="13" spans="1:5" x14ac:dyDescent="0.2">
      <c r="A13" s="60" t="s">
        <v>1343</v>
      </c>
    </row>
    <row r="14" spans="1:5" x14ac:dyDescent="0.2">
      <c r="A14" s="60" t="s">
        <v>1341</v>
      </c>
      <c r="B14" s="60" t="s">
        <v>177</v>
      </c>
      <c r="C14" s="139">
        <v>0.68799999999999994</v>
      </c>
      <c r="D14" s="59">
        <v>316429162</v>
      </c>
      <c r="E14" s="141">
        <f>SUM(D14/100)*(C14)</f>
        <v>2177032.6345599997</v>
      </c>
    </row>
    <row r="15" spans="1:5" x14ac:dyDescent="0.2">
      <c r="A15" s="60" t="s">
        <v>1341</v>
      </c>
      <c r="B15" s="60" t="s">
        <v>178</v>
      </c>
      <c r="C15" s="139">
        <v>0.08</v>
      </c>
      <c r="D15" s="59">
        <v>304319893</v>
      </c>
      <c r="E15" s="141">
        <f>SUM(D15/100)*(C15)</f>
        <v>243455.91440000001</v>
      </c>
    </row>
    <row r="16" spans="1:5" x14ac:dyDescent="0.2">
      <c r="C16" s="139">
        <f>SUM(C14:C15)</f>
        <v>0.7679999999999999</v>
      </c>
      <c r="E16" s="141">
        <f>SUM(E14:E15)</f>
        <v>2420488.5489599998</v>
      </c>
    </row>
    <row r="19" spans="5:5" x14ac:dyDescent="0.2">
      <c r="E19" s="141">
        <f>SUM($E$10-$E$16)</f>
        <v>95644.159539999906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24"/>
  <sheetViews>
    <sheetView workbookViewId="0">
      <selection activeCell="J27" sqref="J27"/>
    </sheetView>
  </sheetViews>
  <sheetFormatPr defaultRowHeight="14.25" x14ac:dyDescent="0.2"/>
  <cols>
    <col min="3" max="3" width="31.875" customWidth="1"/>
  </cols>
  <sheetData>
    <row r="1" spans="1:3" x14ac:dyDescent="0.2">
      <c r="A1" t="s">
        <v>1338</v>
      </c>
    </row>
    <row r="14" spans="1:3" x14ac:dyDescent="0.2">
      <c r="B14" s="80"/>
      <c r="C14" s="137" t="s">
        <v>1149</v>
      </c>
    </row>
    <row r="15" spans="1:3" x14ac:dyDescent="0.2">
      <c r="B15" s="128"/>
      <c r="C15" s="129" t="s">
        <v>1150</v>
      </c>
    </row>
    <row r="16" spans="1:3" x14ac:dyDescent="0.2">
      <c r="B16" s="128"/>
      <c r="C16" t="s">
        <v>1110</v>
      </c>
    </row>
    <row r="17" spans="2:3" x14ac:dyDescent="0.2">
      <c r="B17" s="80"/>
      <c r="C17" s="128" t="s">
        <v>1151</v>
      </c>
    </row>
    <row r="18" spans="2:3" x14ac:dyDescent="0.2">
      <c r="B18" s="128"/>
      <c r="C18" s="128" t="s">
        <v>1152</v>
      </c>
    </row>
    <row r="19" spans="2:3" x14ac:dyDescent="0.2">
      <c r="B19" s="128"/>
      <c r="C19" s="128" t="s">
        <v>1153</v>
      </c>
    </row>
    <row r="20" spans="2:3" x14ac:dyDescent="0.2">
      <c r="B20" s="128"/>
      <c r="C20" s="128" t="s">
        <v>1154</v>
      </c>
    </row>
    <row r="21" spans="2:3" x14ac:dyDescent="0.2">
      <c r="B21" s="128"/>
      <c r="C21" s="128" t="s">
        <v>1155</v>
      </c>
    </row>
    <row r="22" spans="2:3" x14ac:dyDescent="0.2">
      <c r="B22" s="128"/>
      <c r="C22" s="128" t="s">
        <v>1152</v>
      </c>
    </row>
    <row r="23" spans="2:3" x14ac:dyDescent="0.2">
      <c r="B23" s="128"/>
      <c r="C23" s="128" t="s">
        <v>1156</v>
      </c>
    </row>
    <row r="24" spans="2:3" x14ac:dyDescent="0.2">
      <c r="B24" s="128"/>
      <c r="C24" s="128" t="s">
        <v>385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INDEX</vt:lpstr>
      <vt:lpstr>SUMMARY </vt:lpstr>
      <vt:lpstr>REVENUE</vt:lpstr>
      <vt:lpstr>PCT. REVENUE</vt:lpstr>
      <vt:lpstr>400-CO. JUDGE</vt:lpstr>
      <vt:lpstr>403-CO.-DIST. CLERK</vt:lpstr>
      <vt:lpstr>406-J.P.</vt:lpstr>
      <vt:lpstr>409-CO. ATTNY</vt:lpstr>
      <vt:lpstr>411-TREASURER</vt:lpstr>
      <vt:lpstr>414 TAX A C</vt:lpstr>
      <vt:lpstr>415 TAX COLLECTIONS </vt:lpstr>
      <vt:lpstr>10-417 BALIFF</vt:lpstr>
      <vt:lpstr>419 SP LAW ENF OFFICER</vt:lpstr>
      <vt:lpstr>420-SHERIFF DEPT.</vt:lpstr>
      <vt:lpstr>423-JAIL</vt:lpstr>
      <vt:lpstr>426-BUILDING MAINT.</vt:lpstr>
      <vt:lpstr>429-D P S</vt:lpstr>
      <vt:lpstr>VETERANS S. O.</vt:lpstr>
      <vt:lpstr>434-EXTENSION</vt:lpstr>
      <vt:lpstr>437-LIBRARY</vt:lpstr>
      <vt:lpstr>440-GEN.GOVT.</vt:lpstr>
      <vt:lpstr>443-ADULT PROB.</vt:lpstr>
      <vt:lpstr>446-COOP. WORKS</vt:lpstr>
      <vt:lpstr>449-COUNTY COURT</vt:lpstr>
      <vt:lpstr>451-JUVENILE PROB.</vt:lpstr>
      <vt:lpstr>453-454 ADMIN OF JUSTICE</vt:lpstr>
      <vt:lpstr>455-COMMISSIONERS COURT</vt:lpstr>
      <vt:lpstr>460-DETENTION CENTER</vt:lpstr>
      <vt:lpstr>470-ELECTIONS</vt:lpstr>
      <vt:lpstr>500-EMERGENCY MGMT.</vt:lpstr>
      <vt:lpstr>DEBT SERVICE</vt:lpstr>
      <vt:lpstr>600-MAINTENANCE SHOP</vt:lpstr>
      <vt:lpstr>PCT. 1</vt:lpstr>
      <vt:lpstr>PCT. 2</vt:lpstr>
      <vt:lpstr>PCT. 3</vt:lpstr>
      <vt:lpstr>PCT. 4</vt:lpstr>
      <vt:lpstr>TAX WORKSHEET</vt:lpstr>
      <vt:lpstr>CAPITAL  PURCHASES</vt:lpstr>
      <vt:lpstr>REVENUE!Print_Area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Keeter</dc:creator>
  <cp:lastModifiedBy>Judge Assistant</cp:lastModifiedBy>
  <cp:lastPrinted>2024-09-04T17:01:56Z</cp:lastPrinted>
  <dcterms:created xsi:type="dcterms:W3CDTF">2016-08-09T21:04:36Z</dcterms:created>
  <dcterms:modified xsi:type="dcterms:W3CDTF">2024-11-19T19:35:55Z</dcterms:modified>
</cp:coreProperties>
</file>